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029"/>
  <workbookPr defaultThemeVersion="124226"/>
  <mc:AlternateContent xmlns:mc="http://schemas.openxmlformats.org/markup-compatibility/2006">
    <mc:Choice Requires="x15">
      <x15ac:absPath xmlns:x15ac="http://schemas.microsoft.com/office/spreadsheetml/2010/11/ac" url="C:\Users\Burton Family\Desktop\"/>
    </mc:Choice>
  </mc:AlternateContent>
  <xr:revisionPtr revIDLastSave="0" documentId="13_ncr:1_{83492AA9-3B56-4415-A693-58268CB463A3}" xr6:coauthVersionLast="28" xr6:coauthVersionMax="28" xr10:uidLastSave="{00000000-0000-0000-0000-000000000000}"/>
  <bookViews>
    <workbookView xWindow="150" yWindow="90" windowWidth="12645" windowHeight="12570" xr2:uid="{00000000-000D-0000-FFFF-FFFF00000000}"/>
  </bookViews>
  <sheets>
    <sheet name="Calculator" sheetId="1" r:id="rId1"/>
    <sheet name="Income Limits" sheetId="2" state="hidden" r:id="rId2"/>
  </sheets>
  <definedNames>
    <definedName name="\C">Calculator!#REF!</definedName>
    <definedName name="\D">Calculator!#REF!</definedName>
    <definedName name="\I">Calculator!#REF!</definedName>
    <definedName name="\N">Calculator!#REF!</definedName>
    <definedName name="\S">Calculator!#REF!</definedName>
    <definedName name="\T">Calculator!#REF!</definedName>
    <definedName name="_CC11">Calculator!#REF!</definedName>
    <definedName name="ACPMSA">Calculator!#REF!</definedName>
    <definedName name="ALLENPMSA">Calculator!#REF!</definedName>
    <definedName name="ATLANTIC">Calculator!#REF!</definedName>
    <definedName name="BERGEN">Calculator!#REF!</definedName>
    <definedName name="BPPMSA">Calculator!#REF!</definedName>
    <definedName name="BURLINGTON">Calculator!#REF!</definedName>
    <definedName name="CAMDEN">Calculator!#REF!</definedName>
    <definedName name="CAPE_MAY">Calculator!#REF!</definedName>
    <definedName name="COAH">Calculator!#REF!</definedName>
    <definedName name="CUMBERLAND">Calculator!#REF!</definedName>
    <definedName name="ESSEX">Calculator!#REF!</definedName>
    <definedName name="FINANCIAL">Calculator!$A$3:$H$126</definedName>
    <definedName name="FIVE">Calculator!#REF!</definedName>
    <definedName name="FOUR">Calculator!#REF!</definedName>
    <definedName name="FOUR1HALF">Calculator!#REF!</definedName>
    <definedName name="GLOUCESTER">Calculator!#REF!</definedName>
    <definedName name="HUDSON">Calculator!#REF!</definedName>
    <definedName name="HUNTERDON">Calculator!#REF!</definedName>
    <definedName name="INC_LIMITS">Calculator!#REF!</definedName>
    <definedName name="JCPMSA">Calculator!#REF!</definedName>
    <definedName name="MACROS">Calculator!#REF!</definedName>
    <definedName name="MERCER">Calculator!#REF!</definedName>
    <definedName name="MIDDLESEX">Calculator!#REF!</definedName>
    <definedName name="MONMOUTH">Calculator!#REF!</definedName>
    <definedName name="MOPMSA">Calculator!#REF!</definedName>
    <definedName name="MORRIS">Calculator!#REF!</definedName>
    <definedName name="MSHPMSA">Calculator!#REF!</definedName>
    <definedName name="NPMSA">Calculator!#REF!</definedName>
    <definedName name="OCEAN">Calculator!#REF!</definedName>
    <definedName name="ONE">Calculator!#REF!</definedName>
    <definedName name="PASSAIC">Calculator!#REF!</definedName>
    <definedName name="PAYDOWN">Calculator!$R$3:$R$165</definedName>
    <definedName name="PPMSA">Calculator!#REF!</definedName>
    <definedName name="_xlnm.Print_Area" localSheetId="0">Calculator!$A$1:$J$154</definedName>
    <definedName name="Print_Area_MI" localSheetId="0">Calculator!$A$3:$R$141</definedName>
    <definedName name="SIX">Calculator!#REF!</definedName>
    <definedName name="SUSSEX">Calculator!#REF!</definedName>
    <definedName name="THREE">Calculator!#REF!</definedName>
    <definedName name="THREE1HALF">Calculator!#REF!</definedName>
    <definedName name="TPMSA">Calculator!#REF!</definedName>
    <definedName name="TWO">Calculator!#REF!</definedName>
    <definedName name="UNION">Calculator!#REF!</definedName>
    <definedName name="VPMSA">Calculator!#REF!</definedName>
    <definedName name="WARREN">Calculator!#REF!</definedName>
    <definedName name="WPMSA">Calculator!#REF!</definedName>
    <definedName name="ZERO">Calculator!#REF!</definedName>
  </definedNames>
  <calcPr calcId="171027" iterate="1" iterateCount="1000" iterateDelta="0.1"/>
</workbook>
</file>

<file path=xl/calcChain.xml><?xml version="1.0" encoding="utf-8"?>
<calcChain xmlns="http://schemas.openxmlformats.org/spreadsheetml/2006/main">
  <c r="F73" i="1" l="1"/>
  <c r="B73" i="1"/>
  <c r="C18" i="1" l="1"/>
  <c r="A95" i="1" l="1"/>
  <c r="A107" i="1" s="1"/>
  <c r="A119" i="1" s="1"/>
  <c r="A131" i="1" s="1"/>
  <c r="H59" i="1"/>
  <c r="A138" i="1"/>
  <c r="A137" i="1"/>
  <c r="A136" i="1"/>
  <c r="A134" i="1"/>
  <c r="A133" i="1"/>
  <c r="A126" i="1"/>
  <c r="A125" i="1"/>
  <c r="A124" i="1"/>
  <c r="A122" i="1"/>
  <c r="A121" i="1"/>
  <c r="A114" i="1"/>
  <c r="A113" i="1"/>
  <c r="A112" i="1"/>
  <c r="A110" i="1"/>
  <c r="A109" i="1"/>
  <c r="A102" i="1"/>
  <c r="A101" i="1"/>
  <c r="A100" i="1"/>
  <c r="A98" i="1"/>
  <c r="A97" i="1"/>
  <c r="A59" i="1"/>
  <c r="A58" i="1"/>
  <c r="A57" i="1"/>
  <c r="A55" i="1"/>
  <c r="A54" i="1"/>
  <c r="J68" i="1"/>
  <c r="I68" i="1"/>
  <c r="H68" i="1"/>
  <c r="D68" i="1"/>
  <c r="E68" i="1"/>
  <c r="G80" i="1"/>
  <c r="H80" i="1"/>
  <c r="F80" i="1"/>
  <c r="E80" i="1"/>
  <c r="D80" i="1"/>
  <c r="H145" i="1"/>
  <c r="H165" i="1" s="1"/>
  <c r="B139" i="1" s="1"/>
  <c r="D139" i="1" s="1"/>
  <c r="F145" i="1"/>
  <c r="G145" i="1"/>
  <c r="E145" i="1"/>
  <c r="E149" i="1" s="1"/>
  <c r="C145" i="1"/>
  <c r="D145" i="1"/>
  <c r="J145" i="1"/>
  <c r="J152" i="1" s="1"/>
  <c r="I145" i="1"/>
  <c r="B165" i="1"/>
  <c r="C12" i="2"/>
  <c r="D12" i="2"/>
  <c r="J12" i="2"/>
  <c r="I12" i="2"/>
  <c r="H12" i="2"/>
  <c r="G12" i="2"/>
  <c r="J11" i="2"/>
  <c r="I11" i="2"/>
  <c r="H11" i="2"/>
  <c r="G11" i="2"/>
  <c r="J10" i="2"/>
  <c r="I10" i="2"/>
  <c r="H10" i="2"/>
  <c r="G10" i="2"/>
  <c r="J9" i="2"/>
  <c r="I9" i="2"/>
  <c r="H9" i="2"/>
  <c r="G9" i="2"/>
  <c r="J8" i="2"/>
  <c r="I8" i="2"/>
  <c r="H8" i="2"/>
  <c r="G8" i="2"/>
  <c r="J7" i="2"/>
  <c r="I7" i="2"/>
  <c r="H7" i="2"/>
  <c r="G7" i="2"/>
  <c r="E12" i="2"/>
  <c r="E11" i="2"/>
  <c r="D11" i="2"/>
  <c r="C11" i="2"/>
  <c r="E10" i="2"/>
  <c r="D10" i="2"/>
  <c r="C10" i="2"/>
  <c r="E9" i="2"/>
  <c r="D9" i="2"/>
  <c r="C9" i="2"/>
  <c r="E8" i="2"/>
  <c r="D8" i="2"/>
  <c r="C8" i="2"/>
  <c r="C7" i="2"/>
  <c r="D7" i="2"/>
  <c r="E7" i="2"/>
  <c r="A142" i="1"/>
  <c r="B69" i="1"/>
  <c r="B70" i="1"/>
  <c r="F70" i="1" s="1"/>
  <c r="B71" i="1"/>
  <c r="B72" i="1"/>
  <c r="L39" i="1"/>
  <c r="F39" i="1"/>
  <c r="F44" i="1" s="1"/>
  <c r="L36" i="1"/>
  <c r="L37" i="1"/>
  <c r="L40" i="1"/>
  <c r="L41" i="1"/>
  <c r="J74" i="1"/>
  <c r="I74" i="1"/>
  <c r="H74" i="1"/>
  <c r="E74" i="1"/>
  <c r="D74" i="1"/>
  <c r="F72" i="1"/>
  <c r="B162" i="1"/>
  <c r="B164" i="1"/>
  <c r="B163" i="1"/>
  <c r="B160" i="1"/>
  <c r="B159" i="1"/>
  <c r="I159" i="1" s="1"/>
  <c r="C44" i="1"/>
  <c r="D41" i="1"/>
  <c r="D40" i="1"/>
  <c r="D42" i="1"/>
  <c r="D38" i="1"/>
  <c r="D37" i="1"/>
  <c r="C69" i="1"/>
  <c r="G69" i="1"/>
  <c r="C70" i="1"/>
  <c r="G70" i="1"/>
  <c r="C71" i="1"/>
  <c r="G71" i="1"/>
  <c r="C72" i="1"/>
  <c r="G72" i="1"/>
  <c r="D73" i="1"/>
  <c r="E73" i="1"/>
  <c r="H73" i="1"/>
  <c r="I73" i="1"/>
  <c r="J73" i="1"/>
  <c r="D35" i="1"/>
  <c r="D34" i="1"/>
  <c r="C36" i="1"/>
  <c r="F43" i="1"/>
  <c r="D151" i="1"/>
  <c r="C151" i="1"/>
  <c r="B74" i="1" l="1"/>
  <c r="F74" i="1"/>
  <c r="F162" i="1"/>
  <c r="H160" i="1"/>
  <c r="B134" i="1" s="1"/>
  <c r="D134" i="1" s="1"/>
  <c r="G165" i="1"/>
  <c r="G149" i="1"/>
  <c r="J149" i="1"/>
  <c r="E165" i="1"/>
  <c r="B115" i="1" s="1"/>
  <c r="D115" i="1" s="1"/>
  <c r="E163" i="1"/>
  <c r="B113" i="1" s="1"/>
  <c r="D113" i="1" s="1"/>
  <c r="D159" i="1"/>
  <c r="F165" i="1"/>
  <c r="A47" i="1"/>
  <c r="A75" i="1" s="1"/>
  <c r="C159" i="1"/>
  <c r="H163" i="1"/>
  <c r="B137" i="1" s="1"/>
  <c r="D137" i="1" s="1"/>
  <c r="H159" i="1"/>
  <c r="B133" i="1" s="1"/>
  <c r="D133" i="1" s="1"/>
  <c r="H151" i="1"/>
  <c r="H149" i="1"/>
  <c r="C152" i="1"/>
  <c r="J162" i="1"/>
  <c r="J150" i="1"/>
  <c r="J164" i="1"/>
  <c r="H152" i="1"/>
  <c r="C162" i="1"/>
  <c r="C149" i="1"/>
  <c r="F150" i="1"/>
  <c r="J160" i="1"/>
  <c r="E159" i="1"/>
  <c r="B109" i="1" s="1"/>
  <c r="C109" i="1" s="1"/>
  <c r="H150" i="1"/>
  <c r="F152" i="1"/>
  <c r="H164" i="1"/>
  <c r="B138" i="1" s="1"/>
  <c r="C138" i="1" s="1"/>
  <c r="G163" i="1"/>
  <c r="J163" i="1"/>
  <c r="I163" i="1"/>
  <c r="E162" i="1"/>
  <c r="B112" i="1" s="1"/>
  <c r="D112" i="1" s="1"/>
  <c r="F71" i="1"/>
  <c r="F69" i="1"/>
  <c r="C139" i="1"/>
  <c r="C150" i="1"/>
  <c r="I151" i="1"/>
  <c r="I160" i="1"/>
  <c r="I152" i="1"/>
  <c r="H162" i="1"/>
  <c r="B136" i="1" s="1"/>
  <c r="C136" i="1" s="1"/>
  <c r="C165" i="1"/>
  <c r="J165" i="1"/>
  <c r="J151" i="1"/>
  <c r="C163" i="1"/>
  <c r="E150" i="1"/>
  <c r="E151" i="1"/>
  <c r="E152" i="1"/>
  <c r="I149" i="1"/>
  <c r="I164" i="1"/>
  <c r="E164" i="1"/>
  <c r="B114" i="1" s="1"/>
  <c r="D114" i="1" s="1"/>
  <c r="G164" i="1"/>
  <c r="C164" i="1"/>
  <c r="C160" i="1"/>
  <c r="E160" i="1"/>
  <c r="B110" i="1" s="1"/>
  <c r="J159" i="1"/>
  <c r="B45" i="1"/>
  <c r="G44" i="1"/>
  <c r="H44" i="1"/>
  <c r="B46" i="1" s="1"/>
  <c r="B127" i="1"/>
  <c r="D164" i="1"/>
  <c r="E138" i="1"/>
  <c r="F138" i="1"/>
  <c r="F84" i="1"/>
  <c r="H84" i="1"/>
  <c r="C133" i="1"/>
  <c r="D165" i="1"/>
  <c r="D152" i="1"/>
  <c r="D163" i="1"/>
  <c r="D150" i="1"/>
  <c r="D162" i="1"/>
  <c r="B100" i="1" s="1"/>
  <c r="D149" i="1"/>
  <c r="D160" i="1"/>
  <c r="G152" i="1"/>
  <c r="G160" i="1"/>
  <c r="G150" i="1"/>
  <c r="G159" i="1"/>
  <c r="G162" i="1"/>
  <c r="G151" i="1"/>
  <c r="F159" i="1"/>
  <c r="F164" i="1"/>
  <c r="I150" i="1"/>
  <c r="F149" i="1"/>
  <c r="I165" i="1"/>
  <c r="F163" i="1"/>
  <c r="F160" i="1"/>
  <c r="I162" i="1"/>
  <c r="F151" i="1"/>
  <c r="H54" i="1"/>
  <c r="H55" i="1"/>
  <c r="H57" i="1"/>
  <c r="H58" i="1"/>
  <c r="C115" i="1" l="1"/>
  <c r="B124" i="1"/>
  <c r="D124" i="1" s="1"/>
  <c r="C134" i="1"/>
  <c r="B126" i="1"/>
  <c r="C126" i="1" s="1"/>
  <c r="C137" i="1"/>
  <c r="B97" i="1"/>
  <c r="D136" i="1"/>
  <c r="C113" i="1"/>
  <c r="C114" i="1"/>
  <c r="D109" i="1"/>
  <c r="B102" i="1"/>
  <c r="C102" i="1" s="1"/>
  <c r="D138" i="1"/>
  <c r="G138" i="1" s="1"/>
  <c r="H138" i="1" s="1"/>
  <c r="O59" i="1" s="1"/>
  <c r="C112" i="1"/>
  <c r="B103" i="1"/>
  <c r="C103" i="1" s="1"/>
  <c r="B125" i="1"/>
  <c r="C125" i="1" s="1"/>
  <c r="B101" i="1"/>
  <c r="C101" i="1" s="1"/>
  <c r="B121" i="1"/>
  <c r="C121" i="1" s="1"/>
  <c r="D110" i="1"/>
  <c r="C110" i="1"/>
  <c r="B98" i="1"/>
  <c r="D98" i="1" s="1"/>
  <c r="E133" i="1"/>
  <c r="D84" i="1"/>
  <c r="F133" i="1"/>
  <c r="D100" i="1"/>
  <c r="C100" i="1"/>
  <c r="G84" i="1"/>
  <c r="F137" i="1"/>
  <c r="E137" i="1"/>
  <c r="F136" i="1"/>
  <c r="E136" i="1"/>
  <c r="C97" i="1"/>
  <c r="D97" i="1"/>
  <c r="C124" i="1"/>
  <c r="F134" i="1"/>
  <c r="E84" i="1"/>
  <c r="E134" i="1"/>
  <c r="B122" i="1"/>
  <c r="C127" i="1"/>
  <c r="D127" i="1"/>
  <c r="D126" i="1" l="1"/>
  <c r="D125" i="1"/>
  <c r="C98" i="1"/>
  <c r="D103" i="1"/>
  <c r="D102" i="1"/>
  <c r="D121" i="1"/>
  <c r="D101" i="1"/>
  <c r="G136" i="1"/>
  <c r="H136" i="1" s="1"/>
  <c r="O57" i="1" s="1"/>
  <c r="G133" i="1"/>
  <c r="H133" i="1" s="1"/>
  <c r="O54" i="1" s="1"/>
  <c r="G137" i="1"/>
  <c r="H137" i="1" s="1"/>
  <c r="O58" i="1" s="1"/>
  <c r="G134" i="1"/>
  <c r="H134" i="1" s="1"/>
  <c r="O55" i="1" s="1"/>
  <c r="C84" i="1"/>
  <c r="D122" i="1"/>
  <c r="C122" i="1"/>
  <c r="B54" i="1"/>
  <c r="E97" i="1" s="1"/>
  <c r="B55" i="1"/>
  <c r="F98" i="1" s="1"/>
  <c r="B57" i="1"/>
  <c r="F81" i="1" s="1"/>
  <c r="B58" i="1"/>
  <c r="E101" i="1" s="1"/>
  <c r="B59" i="1"/>
  <c r="E102" i="1" s="1"/>
  <c r="F101" i="1" l="1"/>
  <c r="G101" i="1" s="1"/>
  <c r="H101" i="1" s="1"/>
  <c r="L58" i="1" s="1"/>
  <c r="G81" i="1"/>
  <c r="E98" i="1"/>
  <c r="G98" i="1" s="1"/>
  <c r="H98" i="1" s="1"/>
  <c r="L55" i="1" s="1"/>
  <c r="E81" i="1"/>
  <c r="F102" i="1"/>
  <c r="G102" i="1" s="1"/>
  <c r="H102" i="1" s="1"/>
  <c r="L59" i="1" s="1"/>
  <c r="F100" i="1"/>
  <c r="F97" i="1"/>
  <c r="G97" i="1" s="1"/>
  <c r="H97" i="1" s="1"/>
  <c r="L54" i="1" s="1"/>
  <c r="H81" i="1"/>
  <c r="D81" i="1"/>
  <c r="E100" i="1"/>
  <c r="G100" i="1" l="1"/>
  <c r="H100" i="1" s="1"/>
  <c r="L57" i="1" s="1"/>
  <c r="C81" i="1"/>
  <c r="D54" i="1"/>
  <c r="F109" i="1" s="1"/>
  <c r="D55" i="1"/>
  <c r="E82" i="1" s="1"/>
  <c r="D57" i="1"/>
  <c r="E112" i="1" s="1"/>
  <c r="D58" i="1"/>
  <c r="F113" i="1" s="1"/>
  <c r="D59" i="1"/>
  <c r="E114" i="1" s="1"/>
  <c r="F54" i="1"/>
  <c r="F121" i="1" s="1"/>
  <c r="F55" i="1"/>
  <c r="E122" i="1" s="1"/>
  <c r="F57" i="1"/>
  <c r="F124" i="1" s="1"/>
  <c r="F58" i="1"/>
  <c r="F125" i="1" s="1"/>
  <c r="F59" i="1"/>
  <c r="F126" i="1" s="1"/>
  <c r="F83" i="1" l="1"/>
  <c r="E83" i="1"/>
  <c r="E86" i="1" s="1"/>
  <c r="F122" i="1"/>
  <c r="G122" i="1" s="1"/>
  <c r="H122" i="1" s="1"/>
  <c r="N55" i="1" s="1"/>
  <c r="G83" i="1"/>
  <c r="E113" i="1"/>
  <c r="G113" i="1" s="1"/>
  <c r="H113" i="1" s="1"/>
  <c r="M58" i="1" s="1"/>
  <c r="G82" i="1"/>
  <c r="F82" i="1"/>
  <c r="F86" i="1" s="1"/>
  <c r="E125" i="1"/>
  <c r="G125" i="1" s="1"/>
  <c r="H125" i="1" s="1"/>
  <c r="N58" i="1" s="1"/>
  <c r="F112" i="1"/>
  <c r="G112" i="1" s="1"/>
  <c r="H112" i="1" s="1"/>
  <c r="M57" i="1" s="1"/>
  <c r="D82" i="1"/>
  <c r="F114" i="1"/>
  <c r="G114" i="1" s="1"/>
  <c r="H114" i="1" s="1"/>
  <c r="M59" i="1" s="1"/>
  <c r="H82" i="1"/>
  <c r="F110" i="1"/>
  <c r="E110" i="1"/>
  <c r="E109" i="1"/>
  <c r="G109" i="1" s="1"/>
  <c r="H109" i="1" s="1"/>
  <c r="M54" i="1" s="1"/>
  <c r="H83" i="1"/>
  <c r="D83" i="1"/>
  <c r="E126" i="1"/>
  <c r="G126" i="1" s="1"/>
  <c r="H126" i="1" s="1"/>
  <c r="N59" i="1" s="1"/>
  <c r="E124" i="1"/>
  <c r="G124" i="1" s="1"/>
  <c r="H124" i="1" s="1"/>
  <c r="N57" i="1" s="1"/>
  <c r="E121" i="1"/>
  <c r="G121" i="1" s="1"/>
  <c r="H121" i="1" s="1"/>
  <c r="N54" i="1" s="1"/>
  <c r="H86" i="1" l="1"/>
  <c r="G86" i="1"/>
  <c r="C82" i="1"/>
  <c r="G110" i="1"/>
  <c r="H110" i="1" s="1"/>
  <c r="M55" i="1" s="1"/>
  <c r="C83" i="1"/>
  <c r="D86" i="1"/>
  <c r="C86" i="1" l="1"/>
  <c r="B60" i="1"/>
  <c r="D60" i="1"/>
  <c r="F60" i="1"/>
  <c r="H60" i="1"/>
  <c r="L60" i="1"/>
  <c r="M60" i="1"/>
  <c r="N60" i="1"/>
  <c r="O60" i="1"/>
  <c r="E103" i="1"/>
  <c r="F103" i="1"/>
  <c r="G103" i="1"/>
  <c r="H103" i="1"/>
  <c r="E115" i="1"/>
  <c r="F115" i="1"/>
  <c r="G115" i="1"/>
  <c r="H115" i="1"/>
  <c r="E127" i="1"/>
  <c r="F127" i="1"/>
  <c r="G127" i="1"/>
  <c r="H127" i="1"/>
  <c r="E139" i="1"/>
  <c r="F139" i="1"/>
  <c r="G139" i="1"/>
  <c r="H139" i="1"/>
</calcChain>
</file>

<file path=xl/sharedStrings.xml><?xml version="1.0" encoding="utf-8"?>
<sst xmlns="http://schemas.openxmlformats.org/spreadsheetml/2006/main" count="180" uniqueCount="127">
  <si>
    <t>DATE:</t>
  </si>
  <si>
    <t>PROJECT:</t>
  </si>
  <si>
    <t xml:space="preserve"> </t>
  </si>
  <si>
    <t>MUNICIPALITY:</t>
  </si>
  <si>
    <t xml:space="preserve">     PREPARED BY:</t>
  </si>
  <si>
    <t xml:space="preserve">           FILE NAME:</t>
  </si>
  <si>
    <t>TOTAL UNITS</t>
  </si>
  <si>
    <t>PERCENT SETASIDE</t>
  </si>
  <si>
    <t>NUMBER OF LOW</t>
  </si>
  <si>
    <t>NUMBER OF MOD</t>
  </si>
  <si>
    <t>No. OF 1 BEDROOMS</t>
  </si>
  <si>
    <t>No. OF 2 BEDROOMS</t>
  </si>
  <si>
    <t>No. OF 3 BEDROOMS</t>
  </si>
  <si>
    <t>CATEGORY</t>
  </si>
  <si>
    <t>2</t>
  </si>
  <si>
    <t>3</t>
  </si>
  <si>
    <t>4</t>
  </si>
  <si>
    <t>5</t>
  </si>
  <si>
    <t>6</t>
  </si>
  <si>
    <t>FINANCIAL INFORMATION</t>
  </si>
  <si>
    <t>MODERATE</t>
  </si>
  <si>
    <t>PMI</t>
  </si>
  <si>
    <t>LOW</t>
  </si>
  <si>
    <t>PROPERTY TAX RATE</t>
  </si>
  <si>
    <t>EQUALIZATION RATIO</t>
  </si>
  <si>
    <t>TIER 1</t>
  </si>
  <si>
    <t>TIER 2</t>
  </si>
  <si>
    <t/>
  </si>
  <si>
    <t>TIER 3</t>
  </si>
  <si>
    <t>INCOME LIMITS FOR QUALIFYING HOUSEHOLDS</t>
  </si>
  <si>
    <t>1</t>
  </si>
  <si>
    <t>7</t>
  </si>
  <si>
    <t>TIER 4</t>
  </si>
  <si>
    <t>BREAKDOWN OF TOTAL HOUSING EXPENSE</t>
  </si>
  <si>
    <t>TOTAL</t>
  </si>
  <si>
    <t>1 BEDROOM</t>
  </si>
  <si>
    <t>% USED</t>
  </si>
  <si>
    <t>FAMILY SIZE :</t>
  </si>
  <si>
    <t>MEDIAN INCOME:</t>
  </si>
  <si>
    <t>MEDIAN INCOME SOURCE:</t>
  </si>
  <si>
    <t>DOWN PAYMENT</t>
  </si>
  <si>
    <t>PRIVATE MORT INS (PMI)</t>
  </si>
  <si>
    <t>AFFORDABLE HOUSING PRICING CALCULATOR</t>
  </si>
  <si>
    <t>(Monthly)</t>
  </si>
  <si>
    <t>PROPERTY INSURANCE</t>
  </si>
  <si>
    <t>NEW JERSEY COAH INCOME LIMITS</t>
  </si>
  <si>
    <t>MEDIAN INCOME BY FAMILY SIZE</t>
  </si>
  <si>
    <t>Region</t>
  </si>
  <si>
    <t>1 PERSON</t>
  </si>
  <si>
    <t>2 PERSON</t>
  </si>
  <si>
    <t>3 PERSON</t>
  </si>
  <si>
    <t>4 PERSON</t>
  </si>
  <si>
    <t>5 PERSON</t>
  </si>
  <si>
    <t>6 PERSON</t>
  </si>
  <si>
    <t>7 PERSON</t>
  </si>
  <si>
    <t>8 PERSON</t>
  </si>
  <si>
    <t>MORTGAGE TERM</t>
  </si>
  <si>
    <t>Annual Rate Per $1,000 of Mortgage Amount</t>
  </si>
  <si>
    <t>TIER 5</t>
  </si>
  <si>
    <t>PROJECT DATA</t>
  </si>
  <si>
    <t>Bergen, Hudson, Passaic, Sussex</t>
  </si>
  <si>
    <t>Hunterdon, Middlesex, Somerset</t>
  </si>
  <si>
    <t>Mercer, Monmouth, Ocean</t>
  </si>
  <si>
    <t>Burlington, Camden, Gloucester</t>
  </si>
  <si>
    <t>Essex, Morris, Union, Warren</t>
  </si>
  <si>
    <t>ASSOCIATION DUES</t>
  </si>
  <si>
    <t>No. OF 4 BEDROOMS</t>
  </si>
  <si>
    <t>ESTIMATED
PRICE</t>
  </si>
  <si>
    <t>AFFORDABLE UNITS</t>
  </si>
  <si>
    <t>Atlantic, Cape May, Cumberland, Salem</t>
  </si>
  <si>
    <t>GENERAL AFFORDABLE HOUSING UNIT SALES PRICE CALCULATIONS</t>
  </si>
  <si>
    <t>(Rate per $100 of assessed value)</t>
  </si>
  <si>
    <t>VERY LOW</t>
  </si>
  <si>
    <t xml:space="preserve">LOW  </t>
  </si>
  <si>
    <t xml:space="preserve">MOD  </t>
  </si>
  <si>
    <t>AFFORDABLE UNIT PRICING STRATEGY</t>
  </si>
  <si>
    <t>4 BR</t>
  </si>
  <si>
    <t>3 BR</t>
  </si>
  <si>
    <t>2 BR</t>
  </si>
  <si>
    <t>1 BR</t>
  </si>
  <si>
    <t>Mod
Provided</t>
  </si>
  <si>
    <t>Low
Provided</t>
  </si>
  <si>
    <t>Mod
Required</t>
  </si>
  <si>
    <t>Low
Required</t>
  </si>
  <si>
    <t>(Usually a number between 50.00 and 150.00)</t>
  </si>
  <si>
    <t>PRICING AND BEDROOM DISTRIBUTION DETAIL FOR AFFORDABLE UNITS</t>
  </si>
  <si>
    <t>2 BEDROOM</t>
  </si>
  <si>
    <t>4 BEDROOM</t>
  </si>
  <si>
    <t>3 BEDROOM</t>
  </si>
  <si>
    <t>(Maximum permitted)</t>
  </si>
  <si>
    <t>ANNUAL MORTGAGE RATE</t>
  </si>
  <si>
    <t>Years (0 Points)</t>
  </si>
  <si>
    <t>&lt;--Total Affordable Units--&gt;</t>
  </si>
  <si>
    <t xml:space="preserve"> # Of Units</t>
  </si>
  <si>
    <t>Priced at</t>
  </si>
  <si>
    <t>% Of Median
Income</t>
  </si>
  <si>
    <t>CALCULATION OF MAXIMUM SALES PRICES</t>
  </si>
  <si>
    <t>BY BEDROOM SIZE AND CATEGORY</t>
  </si>
  <si>
    <t>Make Entries in Yellow Boxes</t>
  </si>
  <si>
    <t>Adjacent Green and Blue Boxes Must Match</t>
  </si>
  <si>
    <t>Adjacent Orange and Blue Boxes Must Match</t>
  </si>
  <si>
    <t>WORKFORCE</t>
  </si>
  <si>
    <t>Workforce</t>
  </si>
  <si>
    <t>FOR PRICING NEWLY CONSTRUCTED UNITS</t>
  </si>
  <si>
    <t>Range of Affordability for Unit Type</t>
  </si>
  <si>
    <t>PROPERTY
INSURANCE</t>
  </si>
  <si>
    <t>PROPERTY
TAX</t>
  </si>
  <si>
    <t>PRINCIPAL
&amp;INTEREST</t>
  </si>
  <si>
    <t>MAXIMUM
MORTGAGE</t>
  </si>
  <si>
    <t>ASSOC
DUES</t>
  </si>
  <si>
    <t>% of Median
Unit Priced at</t>
  </si>
  <si>
    <t>NEW JERSEY COUNCIL ON AFFORDABLE HOUSING</t>
  </si>
  <si>
    <t>TOTAL GROSS SALES REVENUES FROM AFFORDABLE UNITS</t>
  </si>
  <si>
    <t>COAH REGION:</t>
  </si>
  <si>
    <t>This section of the spreadsheet is used to compare the allocation of units in the Range Of Affordability section with the Bedroom Distribution section to ensure that low- and moderate-income units are disbursed properly throughout the project.  It is important to note that N.J.A.C. 5:80-26.3(a) requires that at least 50 percent of the restricted units within each bedroom distribution be low-income units and the remainder may be moderate-income units.  Because the rule states "at least", odd numbers of units within each bedroom distribution are rounded up in the low-income tiers.  Additionally, there are multiple strategies for allocating units by bedroom size within the various ranges of affordability.  Completing the matrix below will both ensure rule compliance and provide an opportunity for the developers of affordable housing to test different strategies to determine maximum cash flow.  Enter numbers of units in the yellow boxes to alter the content of the green and orange boxes until the number of units in all green boxes equals the number of units in the adjacent blue boxes and the number of units in all orange boxes equals the number of units in the adjacent blue boxes.</t>
  </si>
  <si>
    <r>
      <t xml:space="preserve">1 BEDROOM UNITS  </t>
    </r>
    <r>
      <rPr>
        <sz val="12"/>
        <rFont val="Arial"/>
        <family val="2"/>
      </rPr>
      <t>(1.5 PERSON HOUSEHOLD)</t>
    </r>
  </si>
  <si>
    <r>
      <t xml:space="preserve">2 BEDROOM UNITS </t>
    </r>
    <r>
      <rPr>
        <sz val="12"/>
        <rFont val="Arial"/>
        <family val="2"/>
      </rPr>
      <t xml:space="preserve"> (3 PERSON HOUSEHOLD)</t>
    </r>
  </si>
  <si>
    <r>
      <t xml:space="preserve">3 BEDROOM UNITS  </t>
    </r>
    <r>
      <rPr>
        <sz val="12"/>
        <rFont val="Arial"/>
        <family val="2"/>
      </rPr>
      <t>(4.5 PERSON HOUSEHOLD)</t>
    </r>
  </si>
  <si>
    <r>
      <t xml:space="preserve">4 BEDROOM UNITS  </t>
    </r>
    <r>
      <rPr>
        <sz val="12"/>
        <rFont val="Arial"/>
        <family val="2"/>
      </rPr>
      <t>(6 PERSON HOUSEHOLD)</t>
    </r>
  </si>
  <si>
    <t>This sample calculation provides maximums.  The indicated breakdown is not to be interpreted as mandatory.  These figures are produced only as an aid in configuring a price structure that complies with regulatory requirements at N.J.A.C. 5:94-7.2 and N.J.A.C. 5:80-26.1 et seq.</t>
  </si>
  <si>
    <t>Updated December 5, 2017 by Affordable Housing Professionals of New Jersey (AHPNJ)</t>
  </si>
  <si>
    <t>This document is a tool to assist with the pricing calculation. Please consult UHAC, Fair Housing Settlement Agreement,
and municipal requirements as there may be additional requirements affecting the pricing calculation.</t>
  </si>
  <si>
    <t>2014 COAH Regional Income Limits</t>
  </si>
  <si>
    <t>CURRENT AS OF April 2014</t>
  </si>
  <si>
    <t>2014 Income Limit ESTIMATED</t>
  </si>
  <si>
    <t>FreddieMac 30-Year Fixed-Rate Mortgage rate (formerly Federal Reserve H15). Enter rate from most recent year and month</t>
  </si>
  <si>
    <r>
      <rPr>
        <b/>
        <sz val="12"/>
        <rFont val="Arial"/>
        <family val="2"/>
      </rPr>
      <t>Disclaimer:</t>
    </r>
    <r>
      <rPr>
        <sz val="12"/>
        <rFont val="Arial"/>
        <family val="2"/>
      </rPr>
      <t xml:space="preserve"> These materials are for educational, non-commercial, discussion purposes only, and should not be relied on for business, legal, or financial decisions.  Any use of these materials and the computations made in these materials for business, legal and financial advice must be tailored to the specific circumstances of each case, nothing provided herein should be used as a substitute for the advice of competent professionals.  AHPNJ makes no claim, promise, guarantee or representation as to the suitability, reliability, appropriateness or accuracy of the information contained in these materials.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</si>
</sst>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7" formatCode="&quot;$&quot;#,##0.00_);\(&quot;$&quot;#,##0.00\)"/>
    <numFmt numFmtId="164" formatCode="0.0%"/>
    <numFmt numFmtId="165" formatCode="&quot;$&quot;#,##0"/>
  </numFmts>
  <fonts count="32" x14ac:knownFonts="1">
    <font>
      <sz val="12"/>
      <name val="Arial"/>
    </font>
    <font>
      <sz val="12"/>
      <name val="Arial"/>
      <family val="2"/>
    </font>
    <font>
      <u/>
      <sz val="10.45"/>
      <color indexed="12"/>
      <name val="Arial"/>
      <family val="2"/>
    </font>
    <font>
      <sz val="10"/>
      <name val="Arial"/>
      <family val="2"/>
    </font>
    <font>
      <b/>
      <sz val="10"/>
      <name val="Arial"/>
      <family val="2"/>
    </font>
    <font>
      <sz val="12"/>
      <color indexed="10"/>
      <name val="Arial"/>
      <family val="2"/>
    </font>
    <font>
      <b/>
      <sz val="18"/>
      <color indexed="8"/>
      <name val="Arial"/>
      <family val="2"/>
    </font>
    <font>
      <sz val="14"/>
      <color indexed="12"/>
      <name val="Arial"/>
      <family val="2"/>
    </font>
    <font>
      <sz val="12"/>
      <name val="Arial"/>
      <family val="2"/>
    </font>
    <font>
      <b/>
      <i/>
      <sz val="16"/>
      <color indexed="8"/>
      <name val="Arial"/>
      <family val="2"/>
    </font>
    <font>
      <sz val="14"/>
      <name val="Arial"/>
      <family val="2"/>
    </font>
    <font>
      <b/>
      <sz val="16"/>
      <name val="Arial"/>
      <family val="2"/>
    </font>
    <font>
      <sz val="10"/>
      <name val="Times New Roman"/>
      <family val="1"/>
    </font>
    <font>
      <b/>
      <sz val="14"/>
      <name val="Arial"/>
      <family val="2"/>
    </font>
    <font>
      <sz val="14"/>
      <color indexed="8"/>
      <name val="Arial"/>
      <family val="2"/>
    </font>
    <font>
      <sz val="14"/>
      <color indexed="10"/>
      <name val="Arial"/>
      <family val="2"/>
    </font>
    <font>
      <b/>
      <u/>
      <sz val="16"/>
      <name val="Arial"/>
      <family val="2"/>
    </font>
    <font>
      <b/>
      <u/>
      <sz val="14"/>
      <color indexed="12"/>
      <name val="Arial"/>
      <family val="2"/>
    </font>
    <font>
      <u/>
      <sz val="12"/>
      <color indexed="12"/>
      <name val="Arial"/>
      <family val="2"/>
    </font>
    <font>
      <b/>
      <u/>
      <sz val="14"/>
      <name val="Arial"/>
      <family val="2"/>
    </font>
    <font>
      <b/>
      <sz val="14"/>
      <color indexed="10"/>
      <name val="Arial"/>
      <family val="2"/>
    </font>
    <font>
      <b/>
      <sz val="11"/>
      <name val="Arial"/>
      <family val="2"/>
    </font>
    <font>
      <b/>
      <sz val="16"/>
      <color indexed="10"/>
      <name val="Arial"/>
      <family val="2"/>
    </font>
    <font>
      <b/>
      <sz val="12"/>
      <name val="Arial"/>
      <family val="2"/>
    </font>
    <font>
      <b/>
      <sz val="13"/>
      <name val="Arial"/>
      <family val="2"/>
    </font>
    <font>
      <sz val="13"/>
      <name val="Arial"/>
      <family val="2"/>
    </font>
    <font>
      <b/>
      <sz val="14"/>
      <color indexed="17"/>
      <name val="Arial"/>
      <family val="2"/>
    </font>
    <font>
      <sz val="14"/>
      <color indexed="9"/>
      <name val="Arial"/>
      <family val="2"/>
    </font>
    <font>
      <b/>
      <sz val="14"/>
      <color indexed="9"/>
      <name val="Arial"/>
      <family val="2"/>
    </font>
    <font>
      <sz val="12"/>
      <color indexed="9"/>
      <name val="Arial"/>
      <family val="2"/>
    </font>
    <font>
      <b/>
      <i/>
      <sz val="13"/>
      <color rgb="FFFFFF00"/>
      <name val="Arial Rounded MT Bold"/>
      <family val="2"/>
    </font>
    <font>
      <sz val="12"/>
      <color rgb="FFFF0000"/>
      <name val="Arial"/>
      <family val="2"/>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0"/>
        <bgColor indexed="64"/>
      </patternFill>
    </fill>
    <fill>
      <patternFill patternType="solid">
        <fgColor indexed="11"/>
        <bgColor indexed="64"/>
      </patternFill>
    </fill>
    <fill>
      <patternFill patternType="solid">
        <fgColor indexed="51"/>
        <bgColor indexed="64"/>
      </patternFill>
    </fill>
  </fills>
  <borders count="2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8"/>
      </left>
      <right style="thin">
        <color indexed="22"/>
      </right>
      <top style="thin">
        <color indexed="8"/>
      </top>
      <bottom style="thin">
        <color indexed="8"/>
      </bottom>
      <diagonal/>
    </border>
    <border>
      <left style="thin">
        <color indexed="22"/>
      </left>
      <right/>
      <top style="thin">
        <color indexed="22"/>
      </top>
      <bottom style="thin">
        <color indexed="22"/>
      </bottom>
      <diagonal/>
    </border>
    <border>
      <left style="thin">
        <color indexed="22"/>
      </left>
      <right/>
      <top style="thin">
        <color indexed="22"/>
      </top>
      <bottom/>
      <diagonal/>
    </border>
    <border>
      <left style="double">
        <color indexed="8"/>
      </left>
      <right style="thin">
        <color indexed="64"/>
      </right>
      <top style="thin">
        <color indexed="64"/>
      </top>
      <bottom style="thin">
        <color indexed="64"/>
      </bottom>
      <diagonal/>
    </border>
    <border>
      <left style="double">
        <color indexed="8"/>
      </left>
      <right style="thin">
        <color indexed="22"/>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style="thin">
        <color indexed="22"/>
      </left>
      <right style="thin">
        <color indexed="22"/>
      </right>
      <top style="thin">
        <color indexed="64"/>
      </top>
      <bottom/>
      <diagonal/>
    </border>
    <border>
      <left style="thin">
        <color indexed="22"/>
      </left>
      <right/>
      <top style="thin">
        <color indexed="8"/>
      </top>
      <bottom style="thin">
        <color indexed="8"/>
      </bottom>
      <diagonal/>
    </border>
    <border>
      <left/>
      <right/>
      <top style="thin">
        <color indexed="22"/>
      </top>
      <bottom/>
      <diagonal/>
    </border>
    <border>
      <left/>
      <right style="thin">
        <color indexed="22"/>
      </right>
      <top style="thin">
        <color indexed="22"/>
      </top>
      <bottom/>
      <diagonal/>
    </border>
    <border>
      <left/>
      <right/>
      <top/>
      <bottom style="thin">
        <color indexed="22"/>
      </bottom>
      <diagonal/>
    </border>
    <border>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217">
    <xf numFmtId="0" fontId="0" fillId="0" borderId="0" xfId="0"/>
    <xf numFmtId="0" fontId="3" fillId="0" borderId="0" xfId="0" applyFont="1" applyBorder="1" applyAlignment="1" applyProtection="1">
      <protection hidden="1"/>
    </xf>
    <xf numFmtId="0" fontId="4" fillId="0" borderId="0" xfId="0" applyFont="1" applyBorder="1" applyAlignment="1" applyProtection="1">
      <alignment horizontal="center"/>
      <protection hidden="1"/>
    </xf>
    <xf numFmtId="0" fontId="3" fillId="0" borderId="0" xfId="0" applyFont="1" applyBorder="1" applyProtection="1">
      <protection hidden="1"/>
    </xf>
    <xf numFmtId="0" fontId="0" fillId="0" borderId="0" xfId="0" applyBorder="1"/>
    <xf numFmtId="49" fontId="4" fillId="0" borderId="0" xfId="0" applyNumberFormat="1" applyFont="1" applyBorder="1" applyAlignment="1" applyProtection="1">
      <protection hidden="1"/>
    </xf>
    <xf numFmtId="0" fontId="4" fillId="0" borderId="0" xfId="0" applyFont="1" applyBorder="1" applyProtection="1">
      <protection hidden="1"/>
    </xf>
    <xf numFmtId="49" fontId="3" fillId="0" borderId="0" xfId="0" applyNumberFormat="1" applyFont="1" applyBorder="1" applyAlignment="1" applyProtection="1">
      <protection hidden="1"/>
    </xf>
    <xf numFmtId="49" fontId="4" fillId="0" borderId="0" xfId="0" applyNumberFormat="1" applyFont="1" applyBorder="1" applyAlignment="1" applyProtection="1">
      <alignment horizontal="left"/>
      <protection hidden="1"/>
    </xf>
    <xf numFmtId="6" fontId="1" fillId="0" borderId="0" xfId="0" applyNumberFormat="1" applyFont="1" applyBorder="1" applyAlignment="1">
      <alignment horizontal="center" vertical="center"/>
    </xf>
    <xf numFmtId="165" fontId="5" fillId="0" borderId="0" xfId="0" applyNumberFormat="1" applyFont="1" applyAlignment="1">
      <alignment horizontal="center"/>
    </xf>
    <xf numFmtId="1" fontId="0" fillId="0" borderId="0" xfId="0" applyNumberFormat="1"/>
    <xf numFmtId="0" fontId="7" fillId="0" borderId="1" xfId="0" applyFont="1" applyBorder="1" applyProtection="1">
      <protection hidden="1"/>
    </xf>
    <xf numFmtId="0" fontId="8" fillId="0" borderId="5" xfId="0" applyFont="1" applyBorder="1" applyProtection="1">
      <protection hidden="1"/>
    </xf>
    <xf numFmtId="0" fontId="8" fillId="0" borderId="3" xfId="0" applyFont="1" applyBorder="1" applyProtection="1">
      <protection hidden="1"/>
    </xf>
    <xf numFmtId="0" fontId="8" fillId="0" borderId="4" xfId="0" applyFont="1" applyBorder="1" applyProtection="1">
      <protection hidden="1"/>
    </xf>
    <xf numFmtId="0" fontId="8" fillId="0" borderId="2" xfId="0" applyFont="1" applyBorder="1" applyProtection="1">
      <protection hidden="1"/>
    </xf>
    <xf numFmtId="0" fontId="8" fillId="0" borderId="1" xfId="0" applyFont="1" applyBorder="1" applyProtection="1">
      <protection hidden="1"/>
    </xf>
    <xf numFmtId="0" fontId="10" fillId="0" borderId="1" xfId="0" applyFont="1" applyBorder="1" applyProtection="1">
      <protection hidden="1"/>
    </xf>
    <xf numFmtId="6" fontId="12" fillId="0" borderId="0" xfId="0" applyNumberFormat="1" applyFont="1" applyBorder="1" applyAlignment="1" applyProtection="1">
      <alignment horizontal="center" vertical="center"/>
      <protection hidden="1"/>
    </xf>
    <xf numFmtId="0" fontId="13" fillId="0" borderId="1" xfId="0" applyFont="1" applyBorder="1" applyAlignment="1" applyProtection="1">
      <alignment horizontal="right"/>
      <protection hidden="1"/>
    </xf>
    <xf numFmtId="49" fontId="10" fillId="2" borderId="1" xfId="0" applyNumberFormat="1" applyFont="1" applyFill="1" applyBorder="1" applyProtection="1">
      <protection locked="0" hidden="1"/>
    </xf>
    <xf numFmtId="49" fontId="10" fillId="0" borderId="1" xfId="0" applyNumberFormat="1" applyFont="1" applyBorder="1" applyProtection="1">
      <protection hidden="1"/>
    </xf>
    <xf numFmtId="0" fontId="10" fillId="0" borderId="1" xfId="0" applyFont="1" applyBorder="1" applyAlignment="1" applyProtection="1">
      <alignment horizontal="right"/>
      <protection hidden="1"/>
    </xf>
    <xf numFmtId="0" fontId="10" fillId="0" borderId="1" xfId="0" applyFont="1" applyFill="1" applyBorder="1" applyAlignment="1" applyProtection="1">
      <alignment horizontal="center"/>
      <protection hidden="1"/>
    </xf>
    <xf numFmtId="0" fontId="10" fillId="0" borderId="1" xfId="0" applyFont="1" applyFill="1" applyBorder="1" applyProtection="1">
      <protection hidden="1"/>
    </xf>
    <xf numFmtId="49" fontId="10" fillId="0" borderId="1" xfId="0" applyNumberFormat="1" applyFont="1" applyFill="1" applyBorder="1" applyAlignment="1" applyProtection="1">
      <alignment horizontal="center"/>
      <protection hidden="1"/>
    </xf>
    <xf numFmtId="0" fontId="15" fillId="0" borderId="1" xfId="0" applyFont="1" applyBorder="1" applyProtection="1">
      <protection hidden="1"/>
    </xf>
    <xf numFmtId="10" fontId="10" fillId="2" borderId="1" xfId="0" applyNumberFormat="1" applyFont="1" applyFill="1" applyBorder="1" applyProtection="1">
      <protection locked="0" hidden="1"/>
    </xf>
    <xf numFmtId="5" fontId="10" fillId="2" borderId="1" xfId="0" applyNumberFormat="1" applyFont="1" applyFill="1" applyBorder="1" applyProtection="1">
      <protection locked="0" hidden="1"/>
    </xf>
    <xf numFmtId="7" fontId="10" fillId="2" borderId="1" xfId="0" applyNumberFormat="1" applyFont="1" applyFill="1" applyBorder="1" applyProtection="1">
      <protection locked="0" hidden="1"/>
    </xf>
    <xf numFmtId="0" fontId="10" fillId="3" borderId="1" xfId="0" applyFont="1" applyFill="1" applyBorder="1" applyProtection="1">
      <protection hidden="1"/>
    </xf>
    <xf numFmtId="49" fontId="10" fillId="0" borderId="1" xfId="0" applyNumberFormat="1" applyFont="1" applyBorder="1" applyAlignment="1" applyProtection="1">
      <alignment horizontal="left"/>
      <protection hidden="1"/>
    </xf>
    <xf numFmtId="9" fontId="10" fillId="3" borderId="1" xfId="0" applyNumberFormat="1" applyFont="1" applyFill="1" applyBorder="1" applyProtection="1">
      <protection hidden="1"/>
    </xf>
    <xf numFmtId="7" fontId="10" fillId="3" borderId="1" xfId="0" applyNumberFormat="1" applyFont="1" applyFill="1" applyBorder="1" applyProtection="1">
      <protection hidden="1"/>
    </xf>
    <xf numFmtId="0" fontId="8" fillId="0" borderId="9" xfId="0" applyFont="1" applyBorder="1" applyProtection="1">
      <protection hidden="1"/>
    </xf>
    <xf numFmtId="0" fontId="19" fillId="0" borderId="1" xfId="0" applyFont="1" applyBorder="1" applyAlignment="1" applyProtection="1">
      <alignment horizontal="center"/>
      <protection hidden="1"/>
    </xf>
    <xf numFmtId="0" fontId="10" fillId="0" borderId="9" xfId="0" applyFont="1" applyBorder="1" applyProtection="1">
      <protection hidden="1"/>
    </xf>
    <xf numFmtId="0" fontId="8" fillId="0" borderId="11" xfId="0" applyFont="1" applyBorder="1" applyProtection="1">
      <protection hidden="1"/>
    </xf>
    <xf numFmtId="0" fontId="10" fillId="2" borderId="1" xfId="0" applyFont="1" applyFill="1" applyBorder="1" applyProtection="1">
      <protection locked="0" hidden="1"/>
    </xf>
    <xf numFmtId="0" fontId="15" fillId="0" borderId="9" xfId="0" applyFont="1" applyBorder="1" applyProtection="1">
      <protection hidden="1"/>
    </xf>
    <xf numFmtId="0" fontId="8" fillId="0" borderId="12" xfId="0" applyFont="1" applyBorder="1" applyProtection="1">
      <protection hidden="1"/>
    </xf>
    <xf numFmtId="5" fontId="13" fillId="0" borderId="1" xfId="0" applyNumberFormat="1" applyFont="1" applyBorder="1" applyAlignment="1" applyProtection="1">
      <alignment horizontal="center"/>
      <protection hidden="1"/>
    </xf>
    <xf numFmtId="5" fontId="13" fillId="0" borderId="12" xfId="0" applyNumberFormat="1" applyFont="1" applyBorder="1" applyAlignment="1" applyProtection="1">
      <alignment horizontal="right"/>
      <protection hidden="1"/>
    </xf>
    <xf numFmtId="5" fontId="13" fillId="0" borderId="1" xfId="0" applyNumberFormat="1" applyFont="1" applyBorder="1" applyProtection="1">
      <protection hidden="1"/>
    </xf>
    <xf numFmtId="164" fontId="10" fillId="0" borderId="1" xfId="0" applyNumberFormat="1" applyFont="1" applyFill="1" applyBorder="1" applyProtection="1">
      <protection hidden="1"/>
    </xf>
    <xf numFmtId="5" fontId="13" fillId="0" borderId="12" xfId="0" applyNumberFormat="1" applyFont="1" applyBorder="1" applyProtection="1">
      <protection hidden="1"/>
    </xf>
    <xf numFmtId="164" fontId="14" fillId="0" borderId="4" xfId="0" applyNumberFormat="1" applyFont="1" applyBorder="1" applyProtection="1">
      <protection hidden="1"/>
    </xf>
    <xf numFmtId="164" fontId="10" fillId="2" borderId="1" xfId="0" applyNumberFormat="1" applyFont="1" applyFill="1" applyBorder="1" applyProtection="1">
      <protection locked="0" hidden="1"/>
    </xf>
    <xf numFmtId="0" fontId="13" fillId="0" borderId="1" xfId="0" applyFont="1" applyBorder="1" applyProtection="1">
      <protection hidden="1"/>
    </xf>
    <xf numFmtId="0" fontId="10" fillId="0" borderId="9" xfId="0" quotePrefix="1" applyFont="1" applyBorder="1" applyAlignment="1" applyProtection="1">
      <alignment horizontal="center"/>
      <protection hidden="1"/>
    </xf>
    <xf numFmtId="0" fontId="10" fillId="2" borderId="6" xfId="0" applyFont="1" applyFill="1" applyBorder="1" applyProtection="1">
      <protection locked="0" hidden="1"/>
    </xf>
    <xf numFmtId="0" fontId="10" fillId="0" borderId="10" xfId="0" quotePrefix="1" applyFont="1" applyBorder="1" applyAlignment="1" applyProtection="1">
      <alignment horizontal="center"/>
      <protection hidden="1"/>
    </xf>
    <xf numFmtId="0" fontId="10" fillId="2" borderId="8" xfId="0" applyFont="1" applyFill="1" applyBorder="1" applyProtection="1">
      <protection locked="0" hidden="1"/>
    </xf>
    <xf numFmtId="0" fontId="10" fillId="0" borderId="12" xfId="0" applyFont="1" applyBorder="1" applyProtection="1">
      <protection hidden="1"/>
    </xf>
    <xf numFmtId="0" fontId="13" fillId="0" borderId="7" xfId="0" applyFont="1" applyBorder="1" applyProtection="1">
      <protection hidden="1"/>
    </xf>
    <xf numFmtId="0" fontId="13" fillId="0" borderId="1" xfId="0" applyFont="1" applyBorder="1" applyAlignment="1" applyProtection="1">
      <alignment horizontal="left"/>
      <protection hidden="1"/>
    </xf>
    <xf numFmtId="164" fontId="13" fillId="0" borderId="1" xfId="0" applyNumberFormat="1" applyFont="1" applyBorder="1" applyAlignment="1" applyProtection="1">
      <protection hidden="1"/>
    </xf>
    <xf numFmtId="0" fontId="23" fillId="0" borderId="2" xfId="0" applyFont="1" applyBorder="1" applyAlignment="1" applyProtection="1">
      <alignment horizontal="center"/>
      <protection hidden="1"/>
    </xf>
    <xf numFmtId="0" fontId="13" fillId="0" borderId="1" xfId="0" applyFont="1" applyBorder="1" applyAlignment="1" applyProtection="1">
      <protection hidden="1"/>
    </xf>
    <xf numFmtId="0" fontId="23" fillId="0" borderId="2" xfId="0" applyFont="1" applyBorder="1" applyProtection="1">
      <protection hidden="1"/>
    </xf>
    <xf numFmtId="164" fontId="10" fillId="0" borderId="1" xfId="0" applyNumberFormat="1" applyFont="1" applyBorder="1" applyProtection="1">
      <protection hidden="1"/>
    </xf>
    <xf numFmtId="0" fontId="10" fillId="0" borderId="1" xfId="0" quotePrefix="1" applyFont="1" applyBorder="1" applyAlignment="1" applyProtection="1">
      <alignment horizontal="center"/>
      <protection hidden="1"/>
    </xf>
    <xf numFmtId="0" fontId="24" fillId="0" borderId="1" xfId="0" applyFont="1" applyBorder="1" applyProtection="1">
      <protection hidden="1"/>
    </xf>
    <xf numFmtId="0" fontId="25" fillId="0" borderId="1" xfId="0" applyFont="1" applyBorder="1" applyProtection="1">
      <protection hidden="1"/>
    </xf>
    <xf numFmtId="0" fontId="10" fillId="0" borderId="1" xfId="0" applyFont="1" applyBorder="1" applyAlignment="1" applyProtection="1">
      <alignment horizontal="center" wrapText="1"/>
      <protection hidden="1"/>
    </xf>
    <xf numFmtId="0" fontId="10" fillId="0" borderId="1" xfId="0" applyFont="1" applyBorder="1" applyAlignment="1" applyProtection="1">
      <alignment horizontal="center"/>
      <protection hidden="1"/>
    </xf>
    <xf numFmtId="0" fontId="8" fillId="0" borderId="4" xfId="0" quotePrefix="1" applyFont="1" applyBorder="1" applyAlignment="1" applyProtection="1">
      <alignment horizontal="center"/>
      <protection hidden="1"/>
    </xf>
    <xf numFmtId="164" fontId="10" fillId="0" borderId="1" xfId="0" applyNumberFormat="1" applyFont="1" applyBorder="1" applyAlignment="1" applyProtection="1">
      <alignment horizontal="center"/>
      <protection hidden="1"/>
    </xf>
    <xf numFmtId="165" fontId="26" fillId="0" borderId="1" xfId="0" applyNumberFormat="1" applyFont="1" applyBorder="1" applyAlignment="1" applyProtection="1">
      <alignment horizontal="center"/>
      <protection hidden="1"/>
    </xf>
    <xf numFmtId="5" fontId="26" fillId="0" borderId="1" xfId="0" applyNumberFormat="1" applyFont="1" applyBorder="1" applyAlignment="1" applyProtection="1">
      <alignment horizontal="center"/>
      <protection hidden="1"/>
    </xf>
    <xf numFmtId="5" fontId="20" fillId="0" borderId="1" xfId="0" applyNumberFormat="1" applyFont="1" applyBorder="1" applyAlignment="1" applyProtection="1">
      <alignment horizontal="center"/>
      <protection hidden="1"/>
    </xf>
    <xf numFmtId="5" fontId="8" fillId="0" borderId="4" xfId="0" applyNumberFormat="1" applyFont="1" applyBorder="1" applyProtection="1">
      <protection hidden="1"/>
    </xf>
    <xf numFmtId="5" fontId="8" fillId="0" borderId="2" xfId="0" applyNumberFormat="1" applyFont="1" applyBorder="1" applyProtection="1">
      <protection hidden="1"/>
    </xf>
    <xf numFmtId="5" fontId="26" fillId="0" borderId="1" xfId="0" applyNumberFormat="1" applyFont="1" applyBorder="1" applyProtection="1">
      <protection hidden="1"/>
    </xf>
    <xf numFmtId="0" fontId="26" fillId="0" borderId="1" xfId="0" applyFont="1" applyBorder="1" applyProtection="1">
      <protection hidden="1"/>
    </xf>
    <xf numFmtId="0" fontId="20" fillId="0" borderId="1" xfId="0" applyFont="1" applyBorder="1" applyProtection="1">
      <protection hidden="1"/>
    </xf>
    <xf numFmtId="5" fontId="23" fillId="0" borderId="4" xfId="0" applyNumberFormat="1" applyFont="1" applyBorder="1" applyProtection="1">
      <protection hidden="1"/>
    </xf>
    <xf numFmtId="0" fontId="27" fillId="0" borderId="1" xfId="0" applyFont="1" applyBorder="1" applyAlignment="1" applyProtection="1">
      <alignment horizontal="center"/>
      <protection hidden="1"/>
    </xf>
    <xf numFmtId="5" fontId="28" fillId="0" borderId="1" xfId="0" applyNumberFormat="1" applyFont="1" applyBorder="1" applyAlignment="1" applyProtection="1">
      <alignment horizontal="center"/>
      <protection hidden="1"/>
    </xf>
    <xf numFmtId="165" fontId="28" fillId="0" borderId="1" xfId="0" applyNumberFormat="1" applyFont="1" applyBorder="1" applyAlignment="1" applyProtection="1">
      <alignment horizontal="center"/>
      <protection hidden="1"/>
    </xf>
    <xf numFmtId="0" fontId="29" fillId="0" borderId="1" xfId="0" applyFont="1" applyBorder="1" applyProtection="1">
      <protection hidden="1"/>
    </xf>
    <xf numFmtId="5" fontId="29" fillId="0" borderId="4" xfId="0" applyNumberFormat="1" applyFont="1" applyBorder="1" applyProtection="1">
      <protection hidden="1"/>
    </xf>
    <xf numFmtId="5" fontId="29" fillId="0" borderId="2" xfId="0" applyNumberFormat="1" applyFont="1" applyBorder="1" applyProtection="1">
      <protection hidden="1"/>
    </xf>
    <xf numFmtId="0" fontId="29" fillId="0" borderId="2" xfId="0" applyFont="1" applyBorder="1" applyProtection="1">
      <protection hidden="1"/>
    </xf>
    <xf numFmtId="0" fontId="11" fillId="0" borderId="1" xfId="0" applyFont="1" applyBorder="1" applyAlignment="1" applyProtection="1">
      <alignment horizontal="center"/>
      <protection hidden="1"/>
    </xf>
    <xf numFmtId="0" fontId="13" fillId="0" borderId="1" xfId="0" applyFont="1" applyBorder="1" applyAlignment="1" applyProtection="1">
      <alignment horizontal="center"/>
      <protection hidden="1"/>
    </xf>
    <xf numFmtId="0" fontId="13" fillId="0" borderId="1" xfId="0" applyFont="1" applyBorder="1" applyAlignment="1" applyProtection="1">
      <alignment horizontal="center" vertical="center" wrapText="1"/>
      <protection hidden="1"/>
    </xf>
    <xf numFmtId="164" fontId="13" fillId="0" borderId="1" xfId="0" quotePrefix="1" applyNumberFormat="1" applyFont="1" applyBorder="1" applyAlignment="1" applyProtection="1">
      <alignment horizontal="center" wrapText="1"/>
      <protection hidden="1"/>
    </xf>
    <xf numFmtId="164" fontId="13" fillId="0" borderId="9" xfId="0" applyNumberFormat="1" applyFont="1" applyBorder="1" applyAlignment="1" applyProtection="1">
      <alignment horizontal="center"/>
      <protection hidden="1"/>
    </xf>
    <xf numFmtId="0" fontId="13" fillId="0" borderId="12" xfId="0" applyFont="1" applyBorder="1" applyAlignment="1" applyProtection="1">
      <alignment horizontal="center" wrapText="1"/>
      <protection hidden="1"/>
    </xf>
    <xf numFmtId="164" fontId="13" fillId="0" borderId="1" xfId="0" applyNumberFormat="1" applyFont="1" applyBorder="1" applyAlignment="1" applyProtection="1">
      <alignment horizontal="center"/>
      <protection hidden="1"/>
    </xf>
    <xf numFmtId="0" fontId="13" fillId="0" borderId="1" xfId="0" quotePrefix="1" applyFont="1" applyBorder="1" applyProtection="1">
      <protection hidden="1"/>
    </xf>
    <xf numFmtId="0" fontId="13" fillId="4" borderId="1" xfId="0" applyFont="1" applyFill="1" applyBorder="1" applyProtection="1">
      <protection hidden="1"/>
    </xf>
    <xf numFmtId="0" fontId="13" fillId="5" borderId="1" xfId="0" applyFont="1" applyFill="1" applyBorder="1" applyProtection="1">
      <protection hidden="1"/>
    </xf>
    <xf numFmtId="0" fontId="10" fillId="2" borderId="1" xfId="0" applyFont="1" applyFill="1" applyBorder="1" applyProtection="1">
      <protection locked="0"/>
    </xf>
    <xf numFmtId="0" fontId="10" fillId="2" borderId="9" xfId="0" applyFont="1" applyFill="1" applyBorder="1" applyProtection="1">
      <protection locked="0"/>
    </xf>
    <xf numFmtId="0" fontId="13" fillId="4" borderId="12" xfId="0" applyFont="1" applyFill="1" applyBorder="1" applyProtection="1">
      <protection hidden="1"/>
    </xf>
    <xf numFmtId="0" fontId="13" fillId="6" borderId="1" xfId="0" applyFont="1" applyFill="1" applyBorder="1" applyProtection="1">
      <protection hidden="1"/>
    </xf>
    <xf numFmtId="0" fontId="13" fillId="5" borderId="1" xfId="0" applyFont="1" applyFill="1" applyBorder="1" applyAlignment="1" applyProtection="1">
      <alignment horizontal="center" vertical="center" wrapText="1"/>
      <protection hidden="1"/>
    </xf>
    <xf numFmtId="0" fontId="13" fillId="5" borderId="9" xfId="0" applyFont="1" applyFill="1" applyBorder="1" applyProtection="1">
      <protection hidden="1"/>
    </xf>
    <xf numFmtId="0" fontId="13" fillId="6" borderId="1" xfId="0" applyFont="1" applyFill="1" applyBorder="1" applyAlignment="1" applyProtection="1">
      <alignment horizontal="center" vertical="center" wrapText="1"/>
      <protection hidden="1"/>
    </xf>
    <xf numFmtId="0" fontId="13" fillId="4" borderId="1" xfId="0" applyFont="1" applyFill="1" applyBorder="1" applyAlignment="1" applyProtection="1">
      <alignment horizontal="right" wrapText="1"/>
      <protection hidden="1"/>
    </xf>
    <xf numFmtId="0" fontId="13" fillId="4" borderId="9" xfId="0" applyFont="1" applyFill="1" applyBorder="1" applyAlignment="1" applyProtection="1">
      <alignment horizontal="right" wrapText="1"/>
      <protection hidden="1"/>
    </xf>
    <xf numFmtId="165" fontId="25" fillId="0" borderId="1" xfId="0" applyNumberFormat="1" applyFont="1" applyBorder="1" applyProtection="1">
      <protection hidden="1"/>
    </xf>
    <xf numFmtId="165" fontId="24" fillId="0" borderId="1" xfId="0" applyNumberFormat="1" applyFont="1" applyBorder="1" applyProtection="1">
      <protection hidden="1"/>
    </xf>
    <xf numFmtId="0" fontId="13" fillId="0" borderId="1" xfId="0" applyFont="1" applyFill="1" applyBorder="1" applyProtection="1">
      <protection hidden="1"/>
    </xf>
    <xf numFmtId="0" fontId="13" fillId="0" borderId="1" xfId="0" quotePrefix="1" applyFont="1" applyBorder="1" applyAlignment="1" applyProtection="1">
      <alignment vertical="center"/>
      <protection hidden="1"/>
    </xf>
    <xf numFmtId="0" fontId="8" fillId="0" borderId="2" xfId="0" applyFont="1" applyBorder="1" applyAlignment="1" applyProtection="1">
      <alignment horizontal="center"/>
      <protection hidden="1"/>
    </xf>
    <xf numFmtId="0" fontId="10" fillId="0" borderId="1" xfId="0" applyFont="1" applyBorder="1" applyAlignment="1" applyProtection="1">
      <alignment horizontal="center" vertical="center" wrapText="1"/>
      <protection hidden="1"/>
    </xf>
    <xf numFmtId="0" fontId="10" fillId="0" borderId="1" xfId="0" applyFont="1" applyBorder="1" applyAlignment="1" applyProtection="1">
      <alignment horizontal="center" vertical="center"/>
      <protection hidden="1"/>
    </xf>
    <xf numFmtId="5" fontId="10" fillId="0" borderId="1" xfId="0" applyNumberFormat="1" applyFont="1" applyBorder="1" applyProtection="1">
      <protection hidden="1"/>
    </xf>
    <xf numFmtId="5" fontId="27" fillId="0" borderId="1" xfId="0" applyNumberFormat="1" applyFont="1" applyBorder="1" applyProtection="1">
      <protection hidden="1"/>
    </xf>
    <xf numFmtId="0" fontId="10" fillId="0" borderId="1" xfId="0" quotePrefix="1" applyFont="1" applyBorder="1" applyAlignment="1" applyProtection="1">
      <alignment horizontal="right"/>
      <protection hidden="1"/>
    </xf>
    <xf numFmtId="0" fontId="10" fillId="0" borderId="1" xfId="0" quotePrefix="1" applyFont="1" applyBorder="1" applyAlignment="1" applyProtection="1">
      <alignment horizontal="left"/>
      <protection hidden="1"/>
    </xf>
    <xf numFmtId="0" fontId="27" fillId="0" borderId="1" xfId="0" applyFont="1" applyBorder="1" applyProtection="1">
      <protection hidden="1"/>
    </xf>
    <xf numFmtId="5" fontId="8" fillId="0" borderId="1" xfId="0" applyNumberFormat="1" applyFont="1" applyBorder="1" applyAlignment="1" applyProtection="1">
      <protection hidden="1"/>
    </xf>
    <xf numFmtId="0" fontId="8" fillId="0" borderId="1" xfId="0" applyFont="1" applyBorder="1" applyAlignment="1" applyProtection="1">
      <alignment horizontal="center"/>
      <protection hidden="1"/>
    </xf>
    <xf numFmtId="5" fontId="10" fillId="3" borderId="1" xfId="0" applyNumberFormat="1" applyFont="1" applyFill="1" applyBorder="1" applyProtection="1">
      <protection hidden="1"/>
    </xf>
    <xf numFmtId="10" fontId="10" fillId="0" borderId="1" xfId="0" applyNumberFormat="1" applyFont="1" applyBorder="1" applyProtection="1">
      <protection hidden="1"/>
    </xf>
    <xf numFmtId="5" fontId="10" fillId="0" borderId="3" xfId="0" applyNumberFormat="1" applyFont="1" applyBorder="1" applyProtection="1">
      <protection hidden="1"/>
    </xf>
    <xf numFmtId="0" fontId="10" fillId="0" borderId="5" xfId="0" applyFont="1" applyBorder="1" applyAlignment="1" applyProtection="1">
      <alignment horizontal="right"/>
      <protection hidden="1"/>
    </xf>
    <xf numFmtId="10" fontId="10" fillId="0" borderId="3" xfId="0" applyNumberFormat="1" applyFont="1" applyBorder="1" applyProtection="1">
      <protection hidden="1"/>
    </xf>
    <xf numFmtId="0" fontId="10" fillId="0" borderId="4" xfId="0" applyFont="1" applyBorder="1" applyAlignment="1" applyProtection="1">
      <alignment horizontal="right"/>
      <protection hidden="1"/>
    </xf>
    <xf numFmtId="10" fontId="10" fillId="0" borderId="2" xfId="0" applyNumberFormat="1" applyFont="1" applyBorder="1" applyProtection="1">
      <protection hidden="1"/>
    </xf>
    <xf numFmtId="5" fontId="10" fillId="0" borderId="2" xfId="0" applyNumberFormat="1" applyFont="1" applyBorder="1" applyProtection="1">
      <protection hidden="1"/>
    </xf>
    <xf numFmtId="0" fontId="10" fillId="0" borderId="4" xfId="0" applyFont="1" applyBorder="1" applyProtection="1">
      <protection hidden="1"/>
    </xf>
    <xf numFmtId="0" fontId="10" fillId="0" borderId="4" xfId="0" applyFont="1" applyBorder="1" applyAlignment="1" applyProtection="1">
      <alignment horizontal="center"/>
      <protection hidden="1"/>
    </xf>
    <xf numFmtId="0" fontId="10" fillId="0" borderId="2" xfId="0" applyFont="1" applyBorder="1" applyProtection="1">
      <protection hidden="1"/>
    </xf>
    <xf numFmtId="0" fontId="8" fillId="0" borderId="0" xfId="0" applyFont="1" applyBorder="1" applyProtection="1">
      <protection hidden="1"/>
    </xf>
    <xf numFmtId="0" fontId="13" fillId="4" borderId="1" xfId="0" applyFont="1" applyFill="1" applyBorder="1" applyAlignment="1" applyProtection="1">
      <alignment horizontal="right"/>
      <protection hidden="1"/>
    </xf>
    <xf numFmtId="165" fontId="31" fillId="0" borderId="0" xfId="0" applyNumberFormat="1" applyFont="1" applyFill="1" applyBorder="1"/>
    <xf numFmtId="0" fontId="23" fillId="0" borderId="9" xfId="0" applyFont="1" applyBorder="1" applyAlignment="1" applyProtection="1">
      <alignment horizontal="center" wrapText="1"/>
      <protection hidden="1"/>
    </xf>
    <xf numFmtId="0" fontId="23" fillId="0" borderId="13" xfId="0" applyFont="1" applyBorder="1" applyAlignment="1" applyProtection="1">
      <alignment horizontal="center" wrapText="1"/>
      <protection hidden="1"/>
    </xf>
    <xf numFmtId="0" fontId="23" fillId="0" borderId="14" xfId="0" applyFont="1" applyBorder="1" applyAlignment="1" applyProtection="1">
      <alignment horizontal="center" wrapText="1"/>
      <protection hidden="1"/>
    </xf>
    <xf numFmtId="49" fontId="10" fillId="3" borderId="10" xfId="0" applyNumberFormat="1" applyFont="1" applyFill="1" applyBorder="1" applyAlignment="1" applyProtection="1">
      <alignment horizontal="left" vertical="top" wrapText="1"/>
      <protection hidden="1"/>
    </xf>
    <xf numFmtId="49" fontId="10" fillId="3" borderId="19" xfId="0" applyNumberFormat="1" applyFont="1" applyFill="1" applyBorder="1" applyAlignment="1" applyProtection="1">
      <alignment horizontal="left" vertical="top"/>
      <protection hidden="1"/>
    </xf>
    <xf numFmtId="49" fontId="10" fillId="3" borderId="20" xfId="0" applyNumberFormat="1" applyFont="1" applyFill="1" applyBorder="1" applyAlignment="1" applyProtection="1">
      <alignment horizontal="left" vertical="top"/>
      <protection hidden="1"/>
    </xf>
    <xf numFmtId="49" fontId="10" fillId="3" borderId="15" xfId="0" applyNumberFormat="1" applyFont="1" applyFill="1" applyBorder="1" applyAlignment="1" applyProtection="1">
      <alignment horizontal="left" vertical="top"/>
      <protection hidden="1"/>
    </xf>
    <xf numFmtId="49" fontId="10" fillId="3" borderId="21" xfId="0" applyNumberFormat="1" applyFont="1" applyFill="1" applyBorder="1" applyAlignment="1" applyProtection="1">
      <alignment horizontal="left" vertical="top"/>
      <protection hidden="1"/>
    </xf>
    <xf numFmtId="49" fontId="10" fillId="3" borderId="16" xfId="0" applyNumberFormat="1" applyFont="1" applyFill="1" applyBorder="1" applyAlignment="1" applyProtection="1">
      <alignment horizontal="left" vertical="top"/>
      <protection hidden="1"/>
    </xf>
    <xf numFmtId="0" fontId="6" fillId="0" borderId="9" xfId="0" applyFont="1" applyBorder="1" applyAlignment="1" applyProtection="1">
      <alignment horizontal="center"/>
      <protection hidden="1"/>
    </xf>
    <xf numFmtId="0" fontId="6" fillId="0" borderId="13" xfId="0" applyFont="1" applyBorder="1" applyAlignment="1" applyProtection="1">
      <alignment horizontal="center"/>
      <protection hidden="1"/>
    </xf>
    <xf numFmtId="0" fontId="6" fillId="0" borderId="14" xfId="0" applyFont="1" applyBorder="1" applyAlignment="1" applyProtection="1">
      <alignment horizontal="center"/>
      <protection hidden="1"/>
    </xf>
    <xf numFmtId="0" fontId="11" fillId="0" borderId="9" xfId="0" applyFont="1" applyBorder="1" applyAlignment="1" applyProtection="1">
      <alignment horizontal="center"/>
      <protection hidden="1"/>
    </xf>
    <xf numFmtId="0" fontId="11" fillId="0" borderId="13" xfId="0" applyFont="1" applyBorder="1" applyAlignment="1" applyProtection="1">
      <alignment horizontal="center"/>
      <protection hidden="1"/>
    </xf>
    <xf numFmtId="0" fontId="11" fillId="0" borderId="14" xfId="0" applyFont="1" applyBorder="1" applyAlignment="1" applyProtection="1">
      <alignment horizontal="center"/>
      <protection hidden="1"/>
    </xf>
    <xf numFmtId="0" fontId="11" fillId="0" borderId="9" xfId="0" quotePrefix="1" applyFont="1" applyBorder="1" applyAlignment="1" applyProtection="1">
      <alignment horizontal="center"/>
      <protection hidden="1"/>
    </xf>
    <xf numFmtId="0" fontId="11" fillId="0" borderId="13" xfId="0" quotePrefix="1" applyFont="1" applyBorder="1" applyAlignment="1" applyProtection="1">
      <alignment horizontal="center"/>
      <protection hidden="1"/>
    </xf>
    <xf numFmtId="0" fontId="11" fillId="0" borderId="14" xfId="0" quotePrefix="1" applyFont="1" applyBorder="1" applyAlignment="1" applyProtection="1">
      <alignment horizontal="center"/>
      <protection hidden="1"/>
    </xf>
    <xf numFmtId="0" fontId="13" fillId="0" borderId="1" xfId="0" applyFont="1" applyBorder="1" applyAlignment="1" applyProtection="1">
      <alignment horizontal="right"/>
      <protection hidden="1"/>
    </xf>
    <xf numFmtId="49" fontId="10" fillId="2" borderId="1" xfId="0" applyNumberFormat="1" applyFont="1" applyFill="1" applyBorder="1" applyAlignment="1" applyProtection="1">
      <alignment horizontal="center"/>
      <protection locked="0" hidden="1"/>
    </xf>
    <xf numFmtId="0" fontId="13" fillId="0" borderId="9" xfId="0" applyFont="1" applyBorder="1" applyAlignment="1" applyProtection="1">
      <alignment horizontal="right"/>
      <protection hidden="1"/>
    </xf>
    <xf numFmtId="0" fontId="13" fillId="0" borderId="14" xfId="0" applyFont="1" applyBorder="1" applyAlignment="1" applyProtection="1">
      <alignment horizontal="right"/>
      <protection hidden="1"/>
    </xf>
    <xf numFmtId="0" fontId="10" fillId="2" borderId="1" xfId="0" applyFont="1" applyFill="1" applyBorder="1" applyAlignment="1" applyProtection="1">
      <alignment horizontal="center"/>
      <protection locked="0" hidden="1"/>
    </xf>
    <xf numFmtId="0" fontId="9" fillId="0" borderId="9" xfId="0" applyFont="1" applyBorder="1" applyAlignment="1" applyProtection="1">
      <alignment horizontal="center"/>
      <protection hidden="1"/>
    </xf>
    <xf numFmtId="0" fontId="9" fillId="0" borderId="13" xfId="0" applyFont="1" applyBorder="1" applyAlignment="1" applyProtection="1">
      <alignment horizontal="center"/>
      <protection hidden="1"/>
    </xf>
    <xf numFmtId="0" fontId="9" fillId="0" borderId="14" xfId="0" applyFont="1" applyBorder="1" applyAlignment="1" applyProtection="1">
      <alignment horizontal="center"/>
      <protection hidden="1"/>
    </xf>
    <xf numFmtId="0" fontId="14" fillId="0" borderId="1" xfId="0" applyFont="1" applyBorder="1" applyAlignment="1" applyProtection="1">
      <alignment horizontal="left"/>
      <protection hidden="1"/>
    </xf>
    <xf numFmtId="0" fontId="16" fillId="0" borderId="1" xfId="0" applyFont="1" applyBorder="1" applyAlignment="1" applyProtection="1">
      <alignment horizontal="center"/>
      <protection hidden="1"/>
    </xf>
    <xf numFmtId="0" fontId="10" fillId="0" borderId="1" xfId="0" quotePrefix="1" applyFont="1" applyBorder="1" applyAlignment="1" applyProtection="1">
      <alignment horizontal="left"/>
      <protection hidden="1"/>
    </xf>
    <xf numFmtId="0" fontId="18" fillId="0" borderId="9" xfId="1" applyFont="1" applyBorder="1" applyAlignment="1" applyProtection="1">
      <alignment horizontal="left"/>
      <protection locked="0" hidden="1"/>
    </xf>
    <xf numFmtId="0" fontId="18" fillId="0" borderId="13" xfId="1" applyFont="1" applyBorder="1" applyAlignment="1" applyProtection="1">
      <alignment horizontal="left"/>
      <protection locked="0" hidden="1"/>
    </xf>
    <xf numFmtId="0" fontId="18" fillId="0" borderId="14" xfId="1" applyFont="1" applyBorder="1" applyAlignment="1" applyProtection="1">
      <alignment horizontal="left"/>
      <protection locked="0" hidden="1"/>
    </xf>
    <xf numFmtId="0" fontId="13" fillId="0" borderId="1" xfId="0" applyFont="1" applyBorder="1" applyAlignment="1" applyProtection="1">
      <alignment horizontal="left"/>
      <protection hidden="1"/>
    </xf>
    <xf numFmtId="0" fontId="16" fillId="0" borderId="9" xfId="0" applyFont="1" applyBorder="1" applyAlignment="1" applyProtection="1">
      <alignment horizontal="center"/>
      <protection hidden="1"/>
    </xf>
    <xf numFmtId="0" fontId="16" fillId="0" borderId="13" xfId="0" applyFont="1" applyBorder="1" applyAlignment="1" applyProtection="1">
      <alignment horizontal="center"/>
      <protection hidden="1"/>
    </xf>
    <xf numFmtId="0" fontId="16" fillId="0" borderId="14" xfId="0" applyFont="1" applyBorder="1" applyAlignment="1" applyProtection="1">
      <alignment horizontal="center"/>
      <protection hidden="1"/>
    </xf>
    <xf numFmtId="0" fontId="17" fillId="0" borderId="0" xfId="1" applyFont="1" applyAlignment="1" applyProtection="1">
      <protection locked="0" hidden="1"/>
    </xf>
    <xf numFmtId="0" fontId="22" fillId="0" borderId="9" xfId="0" applyFont="1" applyBorder="1" applyAlignment="1" applyProtection="1">
      <alignment horizontal="center" wrapText="1"/>
      <protection hidden="1"/>
    </xf>
    <xf numFmtId="0" fontId="22" fillId="0" borderId="13" xfId="0" applyFont="1" applyBorder="1" applyAlignment="1" applyProtection="1">
      <alignment horizontal="center" wrapText="1"/>
      <protection hidden="1"/>
    </xf>
    <xf numFmtId="0" fontId="22" fillId="0" borderId="14" xfId="0" applyFont="1" applyBorder="1" applyAlignment="1" applyProtection="1">
      <alignment horizontal="center" wrapText="1"/>
      <protection hidden="1"/>
    </xf>
    <xf numFmtId="5" fontId="13" fillId="0" borderId="17" xfId="0" applyNumberFormat="1" applyFont="1" applyBorder="1" applyAlignment="1" applyProtection="1">
      <alignment horizontal="center" vertical="center"/>
      <protection hidden="1"/>
    </xf>
    <xf numFmtId="5" fontId="13" fillId="0" borderId="7" xfId="0" applyNumberFormat="1" applyFont="1" applyBorder="1" applyAlignment="1" applyProtection="1">
      <alignment horizontal="center" vertical="center"/>
      <protection hidden="1"/>
    </xf>
    <xf numFmtId="49" fontId="10" fillId="3" borderId="1" xfId="0" applyNumberFormat="1" applyFont="1" applyFill="1" applyBorder="1" applyAlignment="1" applyProtection="1">
      <alignment horizontal="left"/>
      <protection hidden="1"/>
    </xf>
    <xf numFmtId="49" fontId="10" fillId="0" borderId="9" xfId="0" applyNumberFormat="1" applyFont="1" applyBorder="1" applyAlignment="1" applyProtection="1">
      <alignment horizontal="left"/>
      <protection hidden="1"/>
    </xf>
    <xf numFmtId="49" fontId="10" fillId="0" borderId="14" xfId="0" applyNumberFormat="1" applyFont="1" applyBorder="1" applyAlignment="1" applyProtection="1">
      <alignment horizontal="left"/>
      <protection hidden="1"/>
    </xf>
    <xf numFmtId="0" fontId="13" fillId="0" borderId="9" xfId="0" applyFont="1" applyBorder="1" applyAlignment="1" applyProtection="1">
      <alignment horizontal="left"/>
      <protection hidden="1"/>
    </xf>
    <xf numFmtId="0" fontId="13" fillId="0" borderId="14" xfId="0" applyFont="1" applyBorder="1" applyAlignment="1" applyProtection="1">
      <alignment horizontal="left"/>
      <protection hidden="1"/>
    </xf>
    <xf numFmtId="0" fontId="10" fillId="3" borderId="1" xfId="0" applyFont="1" applyFill="1" applyBorder="1" applyAlignment="1" applyProtection="1">
      <alignment horizontal="left"/>
      <protection hidden="1"/>
    </xf>
    <xf numFmtId="0" fontId="22" fillId="0" borderId="9" xfId="0" applyNumberFormat="1" applyFont="1" applyBorder="1" applyAlignment="1" applyProtection="1">
      <alignment horizontal="center" wrapText="1"/>
      <protection hidden="1"/>
    </xf>
    <xf numFmtId="0" fontId="22" fillId="0" borderId="13" xfId="0" applyNumberFormat="1" applyFont="1" applyBorder="1" applyAlignment="1" applyProtection="1">
      <alignment horizontal="center" wrapText="1"/>
      <protection hidden="1"/>
    </xf>
    <xf numFmtId="0" fontId="22" fillId="0" borderId="14" xfId="0" applyNumberFormat="1" applyFont="1" applyBorder="1" applyAlignment="1" applyProtection="1">
      <alignment horizontal="center" wrapText="1"/>
      <protection hidden="1"/>
    </xf>
    <xf numFmtId="0" fontId="30" fillId="4" borderId="9" xfId="0" applyFont="1" applyFill="1" applyBorder="1" applyAlignment="1" applyProtection="1">
      <alignment horizontal="center" wrapText="1"/>
      <protection hidden="1"/>
    </xf>
    <xf numFmtId="0" fontId="30" fillId="4" borderId="14" xfId="0" applyFont="1" applyFill="1" applyBorder="1" applyAlignment="1" applyProtection="1">
      <alignment horizontal="center" wrapText="1"/>
      <protection hidden="1"/>
    </xf>
    <xf numFmtId="0" fontId="20" fillId="0" borderId="1" xfId="0" applyFont="1" applyBorder="1" applyAlignment="1" applyProtection="1">
      <alignment horizontal="center"/>
      <protection hidden="1"/>
    </xf>
    <xf numFmtId="0" fontId="11" fillId="0" borderId="1" xfId="0" applyFont="1" applyBorder="1" applyAlignment="1" applyProtection="1">
      <alignment horizontal="center"/>
      <protection hidden="1"/>
    </xf>
    <xf numFmtId="49" fontId="10" fillId="0" borderId="9" xfId="0" applyNumberFormat="1" applyFont="1" applyBorder="1" applyAlignment="1" applyProtection="1">
      <alignment horizontal="justify" vertical="center" wrapText="1"/>
      <protection hidden="1"/>
    </xf>
    <xf numFmtId="49" fontId="11" fillId="0" borderId="13" xfId="0" applyNumberFormat="1" applyFont="1" applyBorder="1" applyAlignment="1" applyProtection="1">
      <alignment horizontal="justify" vertical="center" wrapText="1"/>
      <protection hidden="1"/>
    </xf>
    <xf numFmtId="49" fontId="11" fillId="0" borderId="14" xfId="0" applyNumberFormat="1" applyFont="1" applyBorder="1" applyAlignment="1" applyProtection="1">
      <alignment horizontal="justify" vertical="center" wrapText="1"/>
      <protection hidden="1"/>
    </xf>
    <xf numFmtId="0" fontId="22" fillId="0" borderId="9" xfId="0" applyFont="1" applyBorder="1" applyAlignment="1" applyProtection="1">
      <alignment horizontal="center"/>
      <protection hidden="1"/>
    </xf>
    <xf numFmtId="0" fontId="22" fillId="0" borderId="13" xfId="0" applyFont="1" applyBorder="1" applyAlignment="1" applyProtection="1">
      <alignment horizontal="center"/>
      <protection hidden="1"/>
    </xf>
    <xf numFmtId="0" fontId="22" fillId="0" borderId="14" xfId="0" applyFont="1" applyBorder="1" applyAlignment="1" applyProtection="1">
      <alignment horizontal="center"/>
      <protection hidden="1"/>
    </xf>
    <xf numFmtId="0" fontId="10" fillId="0" borderId="18" xfId="0" applyFont="1" applyBorder="1" applyAlignment="1" applyProtection="1">
      <alignment horizontal="center" vertical="center" wrapText="1"/>
      <protection hidden="1"/>
    </xf>
    <xf numFmtId="0" fontId="10" fillId="0" borderId="18" xfId="0" applyFont="1" applyBorder="1" applyAlignment="1" applyProtection="1">
      <alignment horizontal="center" vertical="center"/>
      <protection hidden="1"/>
    </xf>
    <xf numFmtId="0" fontId="21" fillId="0" borderId="15" xfId="0" quotePrefix="1" applyFont="1" applyBorder="1" applyAlignment="1" applyProtection="1">
      <alignment horizontal="center" vertical="center"/>
      <protection hidden="1"/>
    </xf>
    <xf numFmtId="0" fontId="8" fillId="0" borderId="16" xfId="0" applyFont="1" applyBorder="1"/>
    <xf numFmtId="0" fontId="22" fillId="0" borderId="1" xfId="0" applyFont="1" applyBorder="1" applyAlignment="1" applyProtection="1">
      <alignment horizontal="center"/>
      <protection hidden="1"/>
    </xf>
    <xf numFmtId="0" fontId="13" fillId="0" borderId="1" xfId="0" quotePrefix="1" applyFont="1" applyBorder="1" applyAlignment="1" applyProtection="1">
      <alignment horizontal="center" vertical="center"/>
      <protection hidden="1"/>
    </xf>
    <xf numFmtId="0" fontId="13" fillId="0" borderId="1" xfId="0" applyFont="1" applyBorder="1" applyAlignment="1" applyProtection="1">
      <alignment horizontal="center"/>
      <protection hidden="1"/>
    </xf>
    <xf numFmtId="0" fontId="16" fillId="0" borderId="12" xfId="0" applyFont="1" applyBorder="1" applyAlignment="1" applyProtection="1">
      <alignment horizontal="center"/>
      <protection hidden="1"/>
    </xf>
    <xf numFmtId="5" fontId="13" fillId="0" borderId="17" xfId="0" applyNumberFormat="1" applyFont="1" applyBorder="1" applyAlignment="1" applyProtection="1">
      <alignment horizontal="center" vertical="center" wrapText="1"/>
      <protection hidden="1"/>
    </xf>
    <xf numFmtId="0" fontId="13" fillId="0" borderId="17" xfId="0" applyFont="1" applyBorder="1" applyAlignment="1" applyProtection="1">
      <alignment horizontal="center" vertical="center"/>
      <protection hidden="1"/>
    </xf>
    <xf numFmtId="0" fontId="13" fillId="0" borderId="7" xfId="0" applyFont="1" applyBorder="1" applyAlignment="1" applyProtection="1">
      <alignment horizontal="center" vertical="center"/>
      <protection hidden="1"/>
    </xf>
    <xf numFmtId="0" fontId="1" fillId="0" borderId="22" xfId="0" applyFont="1" applyBorder="1" applyAlignment="1" applyProtection="1">
      <alignment horizontal="left" wrapText="1"/>
      <protection hidden="1"/>
    </xf>
    <xf numFmtId="0" fontId="8" fillId="0" borderId="22" xfId="0" applyFont="1" applyBorder="1" applyAlignment="1" applyProtection="1">
      <alignment horizontal="left" wrapText="1"/>
      <protection hidden="1"/>
    </xf>
    <xf numFmtId="0" fontId="8" fillId="0" borderId="4" xfId="0" applyFont="1" applyBorder="1" applyAlignment="1" applyProtection="1">
      <alignment horizontal="left" wrapText="1"/>
      <protection hidden="1"/>
    </xf>
    <xf numFmtId="0" fontId="8" fillId="0" borderId="1" xfId="0" applyFont="1" applyBorder="1" applyAlignment="1" applyProtection="1">
      <alignment horizontal="center" wrapText="1"/>
      <protection hidden="1"/>
    </xf>
    <xf numFmtId="0" fontId="10" fillId="0" borderId="1" xfId="0" applyFont="1" applyBorder="1" applyAlignment="1" applyProtection="1">
      <alignment horizontal="center"/>
      <protection hidden="1"/>
    </xf>
    <xf numFmtId="0" fontId="10" fillId="0" borderId="9" xfId="0" applyFont="1" applyBorder="1" applyAlignment="1" applyProtection="1">
      <alignment horizontal="center"/>
      <protection hidden="1"/>
    </xf>
    <xf numFmtId="0" fontId="10" fillId="0" borderId="12" xfId="0" applyFont="1" applyBorder="1" applyAlignment="1" applyProtection="1">
      <alignment horizontal="center"/>
      <protection hidden="1"/>
    </xf>
    <xf numFmtId="0" fontId="10" fillId="0" borderId="1" xfId="0" applyFont="1" applyBorder="1" applyAlignment="1" applyProtection="1">
      <alignment horizontal="right"/>
      <protection hidden="1"/>
    </xf>
    <xf numFmtId="49" fontId="13" fillId="0" borderId="1" xfId="0" applyNumberFormat="1" applyFont="1" applyBorder="1" applyAlignment="1" applyProtection="1">
      <alignment horizontal="center"/>
      <protection hidden="1"/>
    </xf>
    <xf numFmtId="0" fontId="13" fillId="0" borderId="9" xfId="0" applyFont="1" applyBorder="1" applyAlignment="1" applyProtection="1">
      <alignment horizontal="center"/>
      <protection hidden="1"/>
    </xf>
    <xf numFmtId="0" fontId="13" fillId="0" borderId="13" xfId="0" applyFont="1" applyBorder="1" applyAlignment="1" applyProtection="1">
      <alignment horizontal="center"/>
      <protection hidden="1"/>
    </xf>
    <xf numFmtId="0" fontId="13" fillId="0" borderId="14" xfId="0" applyFont="1" applyBorder="1" applyAlignment="1" applyProtection="1">
      <alignment horizontal="center"/>
      <protection hidden="1"/>
    </xf>
    <xf numFmtId="0" fontId="4" fillId="0" borderId="0" xfId="0" applyFont="1" applyBorder="1" applyAlignment="1" applyProtection="1">
      <alignment horizontal="center"/>
      <protection hidden="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freddiemac.com/pmms/pmms30.html" TargetMode="External"/><Relationship Id="rId2" Type="http://schemas.openxmlformats.org/officeDocument/2006/relationships/hyperlink" Target="http://www.nj.gov/treasury/taxation/lpt/taxrate.shtml" TargetMode="External"/><Relationship Id="rId1" Type="http://schemas.openxmlformats.org/officeDocument/2006/relationships/hyperlink" Target="http://www.nj.gov/treasury/taxation/lpt/lptvalue.s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dimension ref="A1:AC183"/>
  <sheetViews>
    <sheetView showRowColHeaders="0" tabSelected="1" defaultGridColor="0" colorId="22" zoomScale="55" zoomScaleNormal="55" workbookViewId="0">
      <selection activeCell="C11" sqref="C11:D11"/>
    </sheetView>
  </sheetViews>
  <sheetFormatPr defaultColWidth="9.77734375" defaultRowHeight="15" x14ac:dyDescent="0.2"/>
  <cols>
    <col min="1" max="1" width="15.77734375" style="15" bestFit="1" customWidth="1"/>
    <col min="2" max="2" width="17.6640625" style="16" customWidth="1"/>
    <col min="3" max="3" width="13.88671875" style="16" customWidth="1"/>
    <col min="4" max="4" width="14" style="16" customWidth="1"/>
    <col min="5" max="5" width="13.5546875" style="16" customWidth="1"/>
    <col min="6" max="6" width="13.77734375" style="16" bestFit="1" customWidth="1"/>
    <col min="7" max="7" width="13.6640625" style="16" bestFit="1" customWidth="1"/>
    <col min="8" max="8" width="13.77734375" style="16" bestFit="1" customWidth="1"/>
    <col min="9" max="10" width="19" style="16" customWidth="1"/>
    <col min="11" max="11" width="11.77734375" style="16" customWidth="1"/>
    <col min="12" max="12" width="11.77734375" style="16" hidden="1" customWidth="1"/>
    <col min="13" max="15" width="9.77734375" style="16" hidden="1" customWidth="1"/>
    <col min="16" max="17" width="9.77734375" style="16" customWidth="1"/>
    <col min="18" max="18" width="11" style="16" customWidth="1"/>
    <col min="19" max="39" width="9.77734375" style="16" customWidth="1"/>
    <col min="40" max="16384" width="9.77734375" style="16"/>
  </cols>
  <sheetData>
    <row r="1" spans="1:29" s="14" customFormat="1" ht="23.25" x14ac:dyDescent="0.35">
      <c r="A1" s="141" t="s">
        <v>111</v>
      </c>
      <c r="B1" s="142"/>
      <c r="C1" s="142"/>
      <c r="D1" s="142"/>
      <c r="E1" s="142"/>
      <c r="F1" s="142"/>
      <c r="G1" s="142"/>
      <c r="H1" s="142"/>
      <c r="I1" s="142"/>
      <c r="J1" s="143"/>
      <c r="K1" s="12"/>
      <c r="L1" s="13"/>
    </row>
    <row r="2" spans="1:29" ht="23.25" x14ac:dyDescent="0.35">
      <c r="A2" s="141" t="s">
        <v>42</v>
      </c>
      <c r="B2" s="142"/>
      <c r="C2" s="142"/>
      <c r="D2" s="142"/>
      <c r="E2" s="142"/>
      <c r="F2" s="142"/>
      <c r="G2" s="142"/>
      <c r="H2" s="142"/>
      <c r="I2" s="142"/>
      <c r="J2" s="143"/>
      <c r="K2" s="12"/>
      <c r="L2" s="15"/>
    </row>
    <row r="3" spans="1:29" ht="20.25" x14ac:dyDescent="0.3">
      <c r="A3" s="155" t="s">
        <v>120</v>
      </c>
      <c r="B3" s="156"/>
      <c r="C3" s="156"/>
      <c r="D3" s="156"/>
      <c r="E3" s="156"/>
      <c r="F3" s="156"/>
      <c r="G3" s="156"/>
      <c r="H3" s="156"/>
      <c r="I3" s="156"/>
      <c r="J3" s="157"/>
      <c r="K3" s="17"/>
      <c r="L3" s="15"/>
    </row>
    <row r="4" spans="1:29" ht="18" x14ac:dyDescent="0.25">
      <c r="A4" s="18"/>
      <c r="B4" s="18"/>
      <c r="C4" s="18"/>
      <c r="D4" s="18"/>
      <c r="E4" s="18"/>
      <c r="F4" s="18"/>
      <c r="G4" s="18"/>
      <c r="H4" s="18"/>
      <c r="I4" s="18"/>
      <c r="J4" s="18"/>
      <c r="K4" s="17"/>
      <c r="L4" s="15"/>
    </row>
    <row r="5" spans="1:29" ht="20.25" x14ac:dyDescent="0.3">
      <c r="A5" s="147" t="s">
        <v>124</v>
      </c>
      <c r="B5" s="148"/>
      <c r="C5" s="148"/>
      <c r="D5" s="148"/>
      <c r="E5" s="148"/>
      <c r="F5" s="148"/>
      <c r="G5" s="148"/>
      <c r="H5" s="148"/>
      <c r="I5" s="148"/>
      <c r="J5" s="149"/>
      <c r="K5" s="18"/>
      <c r="L5" s="15"/>
    </row>
    <row r="6" spans="1:29" ht="20.25" x14ac:dyDescent="0.3">
      <c r="A6" s="144" t="s">
        <v>70</v>
      </c>
      <c r="B6" s="145"/>
      <c r="C6" s="145"/>
      <c r="D6" s="145"/>
      <c r="E6" s="145"/>
      <c r="F6" s="145"/>
      <c r="G6" s="145"/>
      <c r="H6" s="145"/>
      <c r="I6" s="145"/>
      <c r="J6" s="146"/>
      <c r="K6" s="12"/>
      <c r="L6" s="15"/>
    </row>
    <row r="7" spans="1:29" ht="20.25" x14ac:dyDescent="0.3">
      <c r="A7" s="144" t="s">
        <v>103</v>
      </c>
      <c r="B7" s="145"/>
      <c r="C7" s="145"/>
      <c r="D7" s="145"/>
      <c r="E7" s="145"/>
      <c r="F7" s="145"/>
      <c r="G7" s="145"/>
      <c r="H7" s="145"/>
      <c r="I7" s="145"/>
      <c r="J7" s="146"/>
      <c r="K7" s="18"/>
      <c r="L7" s="15"/>
    </row>
    <row r="8" spans="1:29" ht="45.75" customHeight="1" x14ac:dyDescent="0.25">
      <c r="A8" s="132" t="s">
        <v>121</v>
      </c>
      <c r="B8" s="133"/>
      <c r="C8" s="133"/>
      <c r="D8" s="133"/>
      <c r="E8" s="133"/>
      <c r="F8" s="133"/>
      <c r="G8" s="133"/>
      <c r="H8" s="133"/>
      <c r="I8" s="133"/>
      <c r="J8" s="134"/>
      <c r="K8" s="18"/>
      <c r="L8" s="15"/>
      <c r="AB8" s="129"/>
      <c r="AC8" s="129"/>
    </row>
    <row r="9" spans="1:29" ht="18" x14ac:dyDescent="0.25">
      <c r="A9" s="18"/>
      <c r="B9" s="18"/>
      <c r="C9" s="18"/>
      <c r="D9" s="18"/>
      <c r="E9" s="18"/>
      <c r="F9" s="18"/>
      <c r="G9" s="18"/>
      <c r="H9" s="18"/>
      <c r="I9" s="18"/>
      <c r="J9" s="18"/>
      <c r="K9" s="17"/>
      <c r="L9" s="15"/>
      <c r="AB9" s="19"/>
      <c r="AC9" s="19"/>
    </row>
    <row r="10" spans="1:29" ht="18" x14ac:dyDescent="0.25">
      <c r="A10" s="18"/>
      <c r="B10" s="18"/>
      <c r="C10" s="18"/>
      <c r="D10" s="18"/>
      <c r="E10" s="17"/>
      <c r="F10" s="17"/>
      <c r="G10" s="17"/>
      <c r="H10" s="18"/>
      <c r="I10" s="18"/>
      <c r="J10" s="18"/>
      <c r="K10" s="17"/>
      <c r="L10" s="15"/>
    </row>
    <row r="11" spans="1:29" ht="18" x14ac:dyDescent="0.25">
      <c r="A11" s="18"/>
      <c r="B11" s="20" t="s">
        <v>1</v>
      </c>
      <c r="C11" s="151"/>
      <c r="D11" s="151"/>
      <c r="E11" s="150" t="s">
        <v>0</v>
      </c>
      <c r="F11" s="150"/>
      <c r="G11" s="21"/>
      <c r="H11" s="18"/>
      <c r="I11" s="18"/>
      <c r="J11" s="18"/>
      <c r="K11" s="17"/>
      <c r="L11" s="15"/>
    </row>
    <row r="12" spans="1:29" ht="18" x14ac:dyDescent="0.25">
      <c r="A12" s="18" t="s">
        <v>2</v>
      </c>
      <c r="B12" s="18"/>
      <c r="C12" s="22"/>
      <c r="D12" s="22"/>
      <c r="E12" s="23"/>
      <c r="F12" s="23"/>
      <c r="G12" s="18"/>
      <c r="H12" s="18"/>
      <c r="I12" s="18"/>
      <c r="J12" s="18"/>
      <c r="K12" s="17"/>
      <c r="L12" s="15"/>
    </row>
    <row r="13" spans="1:29" ht="18" x14ac:dyDescent="0.25">
      <c r="A13" s="150" t="s">
        <v>3</v>
      </c>
      <c r="B13" s="150"/>
      <c r="C13" s="151"/>
      <c r="D13" s="151"/>
      <c r="E13" s="150" t="s">
        <v>4</v>
      </c>
      <c r="F13" s="150"/>
      <c r="G13" s="154"/>
      <c r="H13" s="154"/>
      <c r="I13" s="24"/>
      <c r="J13" s="24"/>
      <c r="K13" s="17"/>
      <c r="L13" s="15"/>
    </row>
    <row r="14" spans="1:29" ht="18" x14ac:dyDescent="0.25">
      <c r="A14" s="18"/>
      <c r="B14" s="18"/>
      <c r="C14" s="22"/>
      <c r="D14" s="22"/>
      <c r="E14" s="23"/>
      <c r="F14" s="23"/>
      <c r="G14" s="18"/>
      <c r="H14" s="18"/>
      <c r="I14" s="25"/>
      <c r="J14" s="25"/>
      <c r="K14" s="17"/>
      <c r="L14" s="15"/>
    </row>
    <row r="15" spans="1:29" ht="18" x14ac:dyDescent="0.25">
      <c r="A15" s="152" t="s">
        <v>39</v>
      </c>
      <c r="B15" s="153"/>
      <c r="C15" s="135" t="s">
        <v>122</v>
      </c>
      <c r="D15" s="136"/>
      <c r="E15" s="137"/>
      <c r="F15" s="23"/>
      <c r="G15" s="18"/>
      <c r="H15" s="18"/>
      <c r="I15" s="25"/>
      <c r="J15" s="25"/>
      <c r="K15" s="17"/>
      <c r="L15" s="15"/>
    </row>
    <row r="16" spans="1:29" ht="18" x14ac:dyDescent="0.25">
      <c r="A16" s="18"/>
      <c r="B16" s="18"/>
      <c r="C16" s="138"/>
      <c r="D16" s="139"/>
      <c r="E16" s="140"/>
      <c r="F16" s="23"/>
      <c r="G16" s="18"/>
      <c r="H16" s="18"/>
      <c r="I16" s="25"/>
      <c r="J16" s="25"/>
      <c r="K16" s="17"/>
      <c r="L16" s="15"/>
    </row>
    <row r="17" spans="1:16" ht="18" x14ac:dyDescent="0.25">
      <c r="A17" s="150" t="s">
        <v>113</v>
      </c>
      <c r="B17" s="150"/>
      <c r="C17" s="154"/>
      <c r="D17" s="154"/>
      <c r="E17" s="150" t="s">
        <v>5</v>
      </c>
      <c r="F17" s="150"/>
      <c r="G17" s="151"/>
      <c r="H17" s="151"/>
      <c r="I17" s="26"/>
      <c r="J17" s="26"/>
      <c r="K17" s="17"/>
      <c r="L17" s="15"/>
    </row>
    <row r="18" spans="1:16" ht="18" x14ac:dyDescent="0.25">
      <c r="A18" s="18"/>
      <c r="B18" s="18"/>
      <c r="C18" s="158" t="str">
        <f>IF(C17,LOOKUP(C17,'Income Limits'!A7:A12,'Income Limits'!B7:B12),"Enter COAH Region In The Box Above")</f>
        <v>Enter COAH Region In The Box Above</v>
      </c>
      <c r="D18" s="158"/>
      <c r="E18" s="158"/>
      <c r="F18" s="158"/>
      <c r="G18" s="18"/>
      <c r="H18" s="18"/>
      <c r="I18" s="18"/>
      <c r="J18" s="18"/>
      <c r="K18" s="17"/>
      <c r="L18" s="15"/>
    </row>
    <row r="19" spans="1:16" ht="18" x14ac:dyDescent="0.25">
      <c r="A19" s="18"/>
      <c r="B19" s="27"/>
      <c r="C19" s="12"/>
      <c r="D19" s="18"/>
      <c r="E19" s="18"/>
      <c r="F19" s="18"/>
      <c r="G19" s="18"/>
      <c r="H19" s="18"/>
      <c r="I19" s="18"/>
      <c r="J19" s="18"/>
      <c r="K19" s="17"/>
      <c r="L19" s="15"/>
    </row>
    <row r="20" spans="1:16" ht="20.25" x14ac:dyDescent="0.3">
      <c r="A20" s="165" t="s">
        <v>19</v>
      </c>
      <c r="B20" s="166"/>
      <c r="C20" s="166"/>
      <c r="D20" s="166"/>
      <c r="E20" s="167"/>
      <c r="F20" s="18"/>
      <c r="G20" s="18"/>
      <c r="H20" s="18"/>
      <c r="I20" s="18"/>
      <c r="J20" s="18"/>
      <c r="K20" s="18"/>
      <c r="L20" s="18"/>
      <c r="M20" s="18"/>
      <c r="N20" s="18"/>
      <c r="O20" s="17"/>
      <c r="P20" s="15"/>
    </row>
    <row r="21" spans="1:16" ht="18" x14ac:dyDescent="0.25">
      <c r="A21" s="18"/>
      <c r="B21" s="18"/>
      <c r="C21" s="18"/>
      <c r="D21" s="18"/>
      <c r="E21" s="18"/>
      <c r="F21" s="18"/>
      <c r="G21" s="18"/>
      <c r="H21" s="18"/>
      <c r="I21" s="18"/>
      <c r="J21" s="18"/>
      <c r="K21" s="17"/>
      <c r="L21" s="15"/>
    </row>
    <row r="22" spans="1:16" ht="18" x14ac:dyDescent="0.25">
      <c r="A22" s="164" t="s">
        <v>90</v>
      </c>
      <c r="B22" s="164"/>
      <c r="C22" s="28"/>
      <c r="D22" s="161" t="s">
        <v>125</v>
      </c>
      <c r="E22" s="162"/>
      <c r="F22" s="162"/>
      <c r="G22" s="162"/>
      <c r="H22" s="162"/>
      <c r="I22" s="162"/>
      <c r="J22" s="163"/>
      <c r="K22" s="17"/>
      <c r="L22" s="15"/>
    </row>
    <row r="23" spans="1:16" ht="18" x14ac:dyDescent="0.25">
      <c r="A23" s="164" t="s">
        <v>65</v>
      </c>
      <c r="B23" s="164"/>
      <c r="C23" s="29"/>
      <c r="D23" s="22" t="s">
        <v>43</v>
      </c>
      <c r="E23" s="18"/>
      <c r="F23" s="18"/>
      <c r="G23" s="18"/>
      <c r="H23" s="18"/>
      <c r="I23" s="18"/>
      <c r="J23" s="18"/>
      <c r="K23" s="17"/>
      <c r="L23" s="15"/>
    </row>
    <row r="24" spans="1:16" ht="18" x14ac:dyDescent="0.25">
      <c r="A24" s="168" t="s">
        <v>23</v>
      </c>
      <c r="B24" s="168"/>
      <c r="C24" s="30"/>
      <c r="D24" s="160" t="s">
        <v>71</v>
      </c>
      <c r="E24" s="160"/>
      <c r="F24" s="160"/>
      <c r="G24" s="18"/>
      <c r="H24" s="18"/>
      <c r="I24" s="18"/>
      <c r="J24" s="18"/>
      <c r="K24" s="17"/>
      <c r="L24" s="15"/>
    </row>
    <row r="25" spans="1:16" ht="18" x14ac:dyDescent="0.25">
      <c r="A25" s="168" t="s">
        <v>24</v>
      </c>
      <c r="B25" s="168"/>
      <c r="C25" s="28"/>
      <c r="D25" s="160" t="s">
        <v>84</v>
      </c>
      <c r="E25" s="160"/>
      <c r="F25" s="160"/>
      <c r="G25" s="160"/>
      <c r="H25" s="18"/>
      <c r="I25" s="18"/>
      <c r="J25" s="18"/>
      <c r="K25" s="17"/>
      <c r="L25" s="15"/>
    </row>
    <row r="26" spans="1:16" ht="18" x14ac:dyDescent="0.25">
      <c r="A26" s="164" t="s">
        <v>44</v>
      </c>
      <c r="B26" s="164"/>
      <c r="C26" s="29"/>
      <c r="D26" s="22" t="s">
        <v>43</v>
      </c>
      <c r="E26" s="18"/>
      <c r="F26" s="18"/>
      <c r="G26" s="18"/>
      <c r="H26" s="18"/>
      <c r="I26" s="18"/>
      <c r="J26" s="18"/>
      <c r="K26" s="17"/>
      <c r="L26" s="15"/>
    </row>
    <row r="27" spans="1:16" ht="18" x14ac:dyDescent="0.25">
      <c r="A27" s="164" t="s">
        <v>56</v>
      </c>
      <c r="B27" s="164"/>
      <c r="C27" s="31">
        <v>30</v>
      </c>
      <c r="D27" s="175" t="s">
        <v>91</v>
      </c>
      <c r="E27" s="176"/>
      <c r="F27" s="32"/>
      <c r="G27" s="17"/>
      <c r="H27" s="18"/>
      <c r="I27" s="18"/>
      <c r="J27" s="18"/>
      <c r="K27" s="17"/>
      <c r="L27" s="15"/>
    </row>
    <row r="28" spans="1:16" ht="18" x14ac:dyDescent="0.25">
      <c r="A28" s="164" t="s">
        <v>40</v>
      </c>
      <c r="B28" s="164"/>
      <c r="C28" s="33">
        <v>0.05</v>
      </c>
      <c r="D28" s="174" t="s">
        <v>89</v>
      </c>
      <c r="E28" s="174"/>
      <c r="F28" s="31"/>
      <c r="G28" s="31"/>
      <c r="H28" s="18"/>
      <c r="I28" s="18"/>
      <c r="J28" s="18"/>
      <c r="K28" s="17"/>
      <c r="L28" s="15"/>
    </row>
    <row r="29" spans="1:16" ht="18" x14ac:dyDescent="0.25">
      <c r="A29" s="164" t="s">
        <v>41</v>
      </c>
      <c r="B29" s="164"/>
      <c r="C29" s="34">
        <v>7.8</v>
      </c>
      <c r="D29" s="179" t="s">
        <v>57</v>
      </c>
      <c r="E29" s="179"/>
      <c r="F29" s="179"/>
      <c r="G29" s="179"/>
      <c r="H29" s="18"/>
      <c r="I29" s="18"/>
      <c r="J29" s="18"/>
      <c r="K29" s="17"/>
      <c r="L29" s="15"/>
    </row>
    <row r="30" spans="1:16" ht="18" x14ac:dyDescent="0.25">
      <c r="A30" s="18"/>
      <c r="B30" s="18"/>
      <c r="C30" s="12"/>
      <c r="D30" s="18"/>
      <c r="E30" s="18"/>
      <c r="F30" s="18"/>
      <c r="G30" s="18"/>
      <c r="H30" s="18"/>
      <c r="I30" s="18"/>
      <c r="J30" s="18"/>
      <c r="K30" s="17"/>
      <c r="L30" s="15"/>
    </row>
    <row r="31" spans="1:16" ht="18" x14ac:dyDescent="0.25">
      <c r="A31" s="18"/>
      <c r="B31" s="18"/>
      <c r="C31" s="12"/>
      <c r="D31" s="18"/>
      <c r="E31" s="18"/>
      <c r="F31" s="18"/>
      <c r="G31" s="18"/>
      <c r="H31" s="18"/>
      <c r="I31" s="18"/>
      <c r="J31" s="18"/>
      <c r="K31" s="17"/>
      <c r="L31" s="15"/>
    </row>
    <row r="32" spans="1:16" ht="20.25" x14ac:dyDescent="0.3">
      <c r="A32" s="159" t="s">
        <v>59</v>
      </c>
      <c r="B32" s="159"/>
      <c r="C32" s="159"/>
      <c r="D32" s="35"/>
      <c r="E32" s="200" t="s">
        <v>75</v>
      </c>
      <c r="F32" s="159"/>
      <c r="G32" s="159"/>
      <c r="H32" s="159"/>
      <c r="I32" s="36"/>
      <c r="J32" s="36"/>
      <c r="K32" s="17"/>
      <c r="L32" s="15"/>
    </row>
    <row r="33" spans="1:18" ht="18" x14ac:dyDescent="0.25">
      <c r="A33" s="18"/>
      <c r="B33" s="18"/>
      <c r="C33" s="12"/>
      <c r="D33" s="37"/>
      <c r="E33" s="38"/>
      <c r="I33" s="17"/>
      <c r="J33" s="17"/>
      <c r="K33" s="17"/>
      <c r="L33" s="15"/>
    </row>
    <row r="34" spans="1:18" ht="18" x14ac:dyDescent="0.25">
      <c r="A34" s="177" t="s">
        <v>6</v>
      </c>
      <c r="B34" s="178"/>
      <c r="C34" s="39"/>
      <c r="D34" s="40" t="str">
        <f>IF(C34=0,"&lt;--Enter Units","")</f>
        <v>&lt;--Enter Units</v>
      </c>
      <c r="E34" s="41"/>
      <c r="F34" s="172" t="s">
        <v>93</v>
      </c>
      <c r="G34" s="202" t="s">
        <v>94</v>
      </c>
      <c r="H34" s="201" t="s">
        <v>95</v>
      </c>
      <c r="I34" s="42"/>
      <c r="J34" s="42"/>
      <c r="K34" s="17"/>
      <c r="L34" s="15"/>
    </row>
    <row r="35" spans="1:18" ht="18" x14ac:dyDescent="0.25">
      <c r="A35" s="177" t="s">
        <v>68</v>
      </c>
      <c r="B35" s="178"/>
      <c r="C35" s="39"/>
      <c r="D35" s="40" t="str">
        <f>IF(C35=0,"&lt;--Enter Units","")</f>
        <v>&lt;--Enter Units</v>
      </c>
      <c r="E35" s="43"/>
      <c r="F35" s="173"/>
      <c r="G35" s="203"/>
      <c r="H35" s="173"/>
      <c r="I35" s="44"/>
      <c r="J35" s="44"/>
      <c r="K35" s="17"/>
      <c r="L35" s="15"/>
    </row>
    <row r="36" spans="1:18" ht="18" x14ac:dyDescent="0.25">
      <c r="A36" s="177" t="s">
        <v>7</v>
      </c>
      <c r="B36" s="178"/>
      <c r="C36" s="45" t="str">
        <f>IF(C34=0,"",IF(C35=0,"",C35/C34))</f>
        <v/>
      </c>
      <c r="D36" s="37"/>
      <c r="E36" s="46"/>
      <c r="F36" s="44"/>
      <c r="G36" s="17"/>
      <c r="H36" s="44"/>
      <c r="I36" s="45"/>
      <c r="J36" s="45"/>
      <c r="K36" s="17"/>
      <c r="L36" s="47">
        <f>(F37)*(H37)</f>
        <v>0</v>
      </c>
    </row>
    <row r="37" spans="1:18" ht="18" x14ac:dyDescent="0.25">
      <c r="A37" s="177" t="s">
        <v>8</v>
      </c>
      <c r="B37" s="178"/>
      <c r="C37" s="39"/>
      <c r="D37" s="37" t="str">
        <f>FIXED(ROUNDUP(C35/2,0),0)&amp;" Min (50%)"</f>
        <v>0 Min (50%)</v>
      </c>
      <c r="E37" s="43" t="s">
        <v>73</v>
      </c>
      <c r="F37" s="39"/>
      <c r="G37" s="17"/>
      <c r="H37" s="48"/>
      <c r="I37" s="45"/>
      <c r="J37" s="45"/>
      <c r="K37" s="17"/>
      <c r="L37" s="47">
        <f>(F38)*(H38)</f>
        <v>0</v>
      </c>
    </row>
    <row r="38" spans="1:18" ht="18" x14ac:dyDescent="0.25">
      <c r="A38" s="177" t="s">
        <v>9</v>
      </c>
      <c r="B38" s="178"/>
      <c r="C38" s="39"/>
      <c r="D38" s="37" t="str">
        <f>FIXED(ROUNDDOWN(C35/2,0),0)&amp;" Max (50%)"</f>
        <v>0 Max (50%)</v>
      </c>
      <c r="E38" s="43" t="s">
        <v>73</v>
      </c>
      <c r="F38" s="39"/>
      <c r="G38" s="17"/>
      <c r="H38" s="48"/>
      <c r="I38" s="45"/>
      <c r="J38" s="45"/>
      <c r="K38" s="17"/>
      <c r="L38" s="15"/>
    </row>
    <row r="39" spans="1:18" ht="18" x14ac:dyDescent="0.25">
      <c r="A39" s="49"/>
      <c r="B39" s="49"/>
      <c r="C39" s="18" t="s">
        <v>2</v>
      </c>
      <c r="D39" s="37"/>
      <c r="E39" s="43"/>
      <c r="F39" s="185" t="str">
        <f>IF(F37+F38&lt;&gt;C37,"Low-Income Unit Mismatch","")</f>
        <v/>
      </c>
      <c r="G39" s="185"/>
      <c r="H39" s="185"/>
      <c r="I39" s="45"/>
      <c r="J39" s="45"/>
      <c r="K39" s="17"/>
      <c r="L39" s="47">
        <f>(F40)*(H40)</f>
        <v>0</v>
      </c>
    </row>
    <row r="40" spans="1:18" ht="18" x14ac:dyDescent="0.25">
      <c r="A40" s="177" t="s">
        <v>10</v>
      </c>
      <c r="B40" s="178"/>
      <c r="C40" s="39"/>
      <c r="D40" s="50" t="str">
        <f>FIXED(ROUNDDOWN(C35*0.2,0),0)&amp;" Max (20%)"</f>
        <v>0 Max (20%)</v>
      </c>
      <c r="E40" s="43" t="s">
        <v>74</v>
      </c>
      <c r="F40" s="39"/>
      <c r="G40" s="17"/>
      <c r="H40" s="48"/>
      <c r="I40" s="45"/>
      <c r="J40" s="45"/>
      <c r="K40" s="17"/>
      <c r="L40" s="47">
        <f>(F41)*(H41)</f>
        <v>0</v>
      </c>
    </row>
    <row r="41" spans="1:18" ht="18" x14ac:dyDescent="0.25">
      <c r="A41" s="177" t="s">
        <v>11</v>
      </c>
      <c r="B41" s="178"/>
      <c r="C41" s="51"/>
      <c r="D41" s="52" t="str">
        <f>FIXED(ROUNDUP(C35*0.3,0),0)&amp;" Min (30%)"</f>
        <v>0 Min (30%)</v>
      </c>
      <c r="E41" s="43" t="s">
        <v>74</v>
      </c>
      <c r="F41" s="39"/>
      <c r="G41" s="17"/>
      <c r="H41" s="48"/>
      <c r="I41" s="45"/>
      <c r="J41" s="45"/>
      <c r="K41" s="17"/>
      <c r="L41" s="47">
        <f>(F42)*(H42)</f>
        <v>0</v>
      </c>
    </row>
    <row r="42" spans="1:18" ht="18" x14ac:dyDescent="0.25">
      <c r="A42" s="177" t="s">
        <v>12</v>
      </c>
      <c r="B42" s="178"/>
      <c r="C42" s="53"/>
      <c r="D42" s="193" t="str">
        <f>FIXED(ROUNDUP(C35*0.2,0),0)&amp;" Min (20%) Combined"</f>
        <v>0 Min (20%) Combined</v>
      </c>
      <c r="E42" s="43" t="s">
        <v>74</v>
      </c>
      <c r="F42" s="39"/>
      <c r="G42" s="17"/>
      <c r="H42" s="48"/>
      <c r="I42" s="45"/>
      <c r="J42" s="45"/>
      <c r="K42" s="17"/>
      <c r="L42" s="15"/>
    </row>
    <row r="43" spans="1:18" ht="18" x14ac:dyDescent="0.25">
      <c r="A43" s="177" t="s">
        <v>66</v>
      </c>
      <c r="B43" s="178"/>
      <c r="C43" s="53"/>
      <c r="D43" s="194"/>
      <c r="E43" s="54"/>
      <c r="F43" s="185" t="str">
        <f>IF(F40+F41+F42&lt;&gt;C38,"Moderate-Income Unit Mismatch","")</f>
        <v/>
      </c>
      <c r="G43" s="185"/>
      <c r="H43" s="185"/>
      <c r="I43" s="45"/>
      <c r="J43" s="45"/>
      <c r="K43" s="17"/>
      <c r="L43" s="47"/>
    </row>
    <row r="44" spans="1:18" ht="18" x14ac:dyDescent="0.25">
      <c r="A44" s="18"/>
      <c r="B44" s="18"/>
      <c r="C44" s="55">
        <f>SUM(C40:C43)</f>
        <v>0</v>
      </c>
      <c r="D44" s="195" t="s">
        <v>92</v>
      </c>
      <c r="E44" s="196"/>
      <c r="F44" s="56">
        <f>SUM(F37:F42)</f>
        <v>0</v>
      </c>
      <c r="G44" s="20" t="str">
        <f>IF(F44=0,"# of units","AVG  =")</f>
        <v># of units</v>
      </c>
      <c r="H44" s="57" t="str">
        <f>IF(F44=0,"not entered",(SUM(L36:L41)/F44))</f>
        <v>not entered</v>
      </c>
      <c r="I44" s="57"/>
      <c r="J44" s="57"/>
      <c r="K44" s="17"/>
      <c r="L44" s="47"/>
    </row>
    <row r="45" spans="1:18" ht="20.25" x14ac:dyDescent="0.3">
      <c r="A45" s="18"/>
      <c r="B45" s="197" t="str">
        <f>IF(C44&lt;&gt;C35,"Units by bedroom does not equal number of affordable units",IF(F44&lt;&gt;C35,"Units by low/mod split does not equal number of affordable units",""))</f>
        <v/>
      </c>
      <c r="C45" s="197"/>
      <c r="D45" s="197"/>
      <c r="E45" s="197"/>
      <c r="F45" s="197"/>
      <c r="G45" s="197"/>
      <c r="H45" s="197"/>
      <c r="I45" s="17"/>
      <c r="J45" s="17"/>
      <c r="K45" s="17"/>
      <c r="L45" s="15"/>
    </row>
    <row r="46" spans="1:18" ht="20.25" x14ac:dyDescent="0.3">
      <c r="A46" s="18"/>
      <c r="B46" s="190" t="str">
        <f>IF(H44&gt;0.55,"ERROR - Affordability Average in Unit Pricing Strategy may not exceed 55%","")</f>
        <v/>
      </c>
      <c r="C46" s="191"/>
      <c r="D46" s="191"/>
      <c r="E46" s="191"/>
      <c r="F46" s="191"/>
      <c r="G46" s="191"/>
      <c r="H46" s="192"/>
      <c r="I46" s="17"/>
      <c r="J46" s="17"/>
      <c r="K46" s="17"/>
      <c r="L46" s="15"/>
      <c r="R46" s="58"/>
    </row>
    <row r="47" spans="1:18" ht="39" customHeight="1" x14ac:dyDescent="0.3">
      <c r="A47" s="169" t="str">
        <f>IF(SUM(B69:B72)&gt;C37,"PROPOSED DISTRIBUTION OF UNIT TYPES WILL NOT COMPLY WITH RULES.  REALLOCATE THE NUMBER OF UNITS BY UNIT BEDROOM SIZE.","")</f>
        <v/>
      </c>
      <c r="B47" s="170"/>
      <c r="C47" s="170"/>
      <c r="D47" s="170"/>
      <c r="E47" s="170"/>
      <c r="F47" s="170"/>
      <c r="G47" s="170"/>
      <c r="H47" s="171"/>
      <c r="I47" s="17"/>
      <c r="J47" s="17"/>
      <c r="K47" s="17"/>
      <c r="L47" s="15"/>
      <c r="R47" s="58"/>
    </row>
    <row r="48" spans="1:18" ht="20.25" x14ac:dyDescent="0.3">
      <c r="A48" s="159" t="s">
        <v>96</v>
      </c>
      <c r="B48" s="159"/>
      <c r="C48" s="159"/>
      <c r="D48" s="159"/>
      <c r="E48" s="159"/>
      <c r="F48" s="159"/>
      <c r="G48" s="159"/>
      <c r="H48" s="159"/>
      <c r="I48" s="59"/>
      <c r="J48" s="59"/>
      <c r="K48" s="59"/>
      <c r="L48" s="15"/>
      <c r="R48" s="60"/>
    </row>
    <row r="49" spans="1:18" ht="18" x14ac:dyDescent="0.25">
      <c r="A49" s="18"/>
      <c r="B49" s="49"/>
      <c r="C49" s="49"/>
      <c r="D49" s="18"/>
      <c r="E49" s="49"/>
      <c r="F49" s="61"/>
      <c r="G49" s="18"/>
      <c r="H49" s="18"/>
      <c r="I49" s="18"/>
      <c r="J49" s="18"/>
      <c r="K49" s="17"/>
      <c r="L49" s="15"/>
      <c r="R49" s="58"/>
    </row>
    <row r="50" spans="1:18" ht="15.75" customHeight="1" x14ac:dyDescent="0.25">
      <c r="A50" s="18"/>
      <c r="B50" s="62" t="s">
        <v>35</v>
      </c>
      <c r="C50" s="62"/>
      <c r="D50" s="62" t="s">
        <v>86</v>
      </c>
      <c r="E50" s="62"/>
      <c r="F50" s="62" t="s">
        <v>88</v>
      </c>
      <c r="G50" s="62"/>
      <c r="H50" s="62" t="s">
        <v>87</v>
      </c>
      <c r="I50" s="62"/>
      <c r="J50" s="17"/>
      <c r="K50" s="17"/>
      <c r="L50" s="15"/>
      <c r="R50" s="60"/>
    </row>
    <row r="51" spans="1:18" ht="18" x14ac:dyDescent="0.25">
      <c r="A51" s="18"/>
      <c r="B51" s="63"/>
      <c r="C51" s="63"/>
      <c r="D51" s="64"/>
      <c r="E51" s="64"/>
      <c r="F51" s="64"/>
      <c r="G51" s="64"/>
      <c r="H51" s="64"/>
      <c r="I51" s="18"/>
      <c r="J51" s="17"/>
      <c r="K51" s="17"/>
      <c r="L51" s="15"/>
      <c r="R51" s="60"/>
    </row>
    <row r="52" spans="1:18" ht="36" x14ac:dyDescent="0.25">
      <c r="A52" s="65" t="s">
        <v>110</v>
      </c>
      <c r="B52" s="65" t="s">
        <v>67</v>
      </c>
      <c r="C52" s="66"/>
      <c r="D52" s="65" t="s">
        <v>67</v>
      </c>
      <c r="E52" s="66"/>
      <c r="F52" s="65" t="s">
        <v>67</v>
      </c>
      <c r="G52" s="66"/>
      <c r="H52" s="65" t="s">
        <v>67</v>
      </c>
      <c r="I52" s="66"/>
      <c r="J52" s="17"/>
      <c r="K52" s="17"/>
      <c r="L52" s="15"/>
      <c r="N52" s="60"/>
      <c r="R52" s="60"/>
    </row>
    <row r="53" spans="1:18" ht="18" x14ac:dyDescent="0.25">
      <c r="A53" s="49"/>
      <c r="B53" s="49"/>
      <c r="C53" s="18"/>
      <c r="D53" s="49"/>
      <c r="E53" s="18"/>
      <c r="F53" s="18"/>
      <c r="G53" s="18"/>
      <c r="H53" s="18"/>
      <c r="I53" s="18"/>
      <c r="J53" s="17"/>
      <c r="K53" s="17"/>
      <c r="L53" s="67" t="s">
        <v>79</v>
      </c>
      <c r="M53" s="67" t="s">
        <v>78</v>
      </c>
      <c r="N53" s="67" t="s">
        <v>77</v>
      </c>
      <c r="O53" s="67" t="s">
        <v>76</v>
      </c>
      <c r="R53" s="60"/>
    </row>
    <row r="54" spans="1:18" ht="18" x14ac:dyDescent="0.25">
      <c r="A54" s="68">
        <f>$H$37</f>
        <v>0</v>
      </c>
      <c r="B54" s="69" t="str">
        <f>IF($C$18="Enter DCA Region In The Box Above","Enter Region",IF($C$40=0,"N/A",IF(F37=0,"N/A",L54)))</f>
        <v>N/A</v>
      </c>
      <c r="C54" s="70"/>
      <c r="D54" s="69" t="str">
        <f>IF($C$18="Enter DCA Region In The Box Above","Enter Region",IF($C$41=0,"N/A",IF(F37=0,"N/A",M54)))</f>
        <v>N/A</v>
      </c>
      <c r="E54" s="70"/>
      <c r="F54" s="69" t="str">
        <f>IF($C$18="Enter DCA Region In The Box Above","Enter Region",IF($C$42=0,"N/A",IF(F37=0,"N/A",N54)))</f>
        <v>N/A</v>
      </c>
      <c r="G54" s="70"/>
      <c r="H54" s="69" t="str">
        <f>IF($C$18="Enter DCA Region In The Box Above","Enter Region",IF($C$43=0,"N/A",IF(F37=0,"N/A",O54)))</f>
        <v>N/A</v>
      </c>
      <c r="I54" s="71"/>
      <c r="J54" s="17"/>
      <c r="K54" s="17"/>
      <c r="L54" s="72" t="e">
        <f>H97/0.95</f>
        <v>#N/A</v>
      </c>
      <c r="M54" s="73" t="e">
        <f>H109/0.95</f>
        <v>#N/A</v>
      </c>
      <c r="N54" s="73" t="e">
        <f>H121/0.95</f>
        <v>#N/A</v>
      </c>
      <c r="O54" s="73" t="e">
        <f>H133/0.95</f>
        <v>#N/A</v>
      </c>
      <c r="R54" s="60"/>
    </row>
    <row r="55" spans="1:18" ht="18" x14ac:dyDescent="0.25">
      <c r="A55" s="68">
        <f>$H$38</f>
        <v>0</v>
      </c>
      <c r="B55" s="69" t="str">
        <f>IF($C$18="Enter DCA Region In The Box Above","Enter Region",IF($C$40=0,"N/A",IF(F38=0,"N/A",L55)))</f>
        <v>N/A</v>
      </c>
      <c r="C55" s="70"/>
      <c r="D55" s="69" t="str">
        <f>IF($C$18="Enter DCA Region In The Box Above","Enter Region",IF($C$41=0,"N/A",IF(F38=0,"N/A",M55)))</f>
        <v>N/A</v>
      </c>
      <c r="E55" s="70"/>
      <c r="F55" s="69" t="str">
        <f>IF($C$18="Enter DCA Region In The Box Above","Enter Region",IF($C$42=0,"N/A",IF(F38=0,"N/A",N55)))</f>
        <v>N/A</v>
      </c>
      <c r="G55" s="70"/>
      <c r="H55" s="69" t="str">
        <f>IF($C$18="Enter DCA Region In The Box Above","Enter Region",IF($C$43=0,"N/A",IF(F38=0,"N/A",O55)))</f>
        <v>N/A</v>
      </c>
      <c r="I55" s="71"/>
      <c r="J55" s="17"/>
      <c r="K55" s="17"/>
      <c r="L55" s="72" t="e">
        <f>H98/0.95</f>
        <v>#N/A</v>
      </c>
      <c r="M55" s="73" t="e">
        <f>H110/0.95</f>
        <v>#N/A</v>
      </c>
      <c r="N55" s="73" t="e">
        <f>H122/0.95</f>
        <v>#N/A</v>
      </c>
      <c r="O55" s="73" t="e">
        <f>H134/0.95</f>
        <v>#N/A</v>
      </c>
      <c r="R55" s="60"/>
    </row>
    <row r="56" spans="1:18" ht="18" x14ac:dyDescent="0.25">
      <c r="A56" s="18"/>
      <c r="B56" s="74"/>
      <c r="C56" s="75"/>
      <c r="D56" s="74"/>
      <c r="E56" s="75"/>
      <c r="F56" s="74"/>
      <c r="G56" s="75"/>
      <c r="H56" s="74"/>
      <c r="I56" s="76"/>
      <c r="J56" s="17"/>
      <c r="K56" s="17"/>
      <c r="L56" s="77"/>
      <c r="M56" s="73"/>
      <c r="R56" s="60"/>
    </row>
    <row r="57" spans="1:18" ht="18" x14ac:dyDescent="0.25">
      <c r="A57" s="68">
        <f>$H$40</f>
        <v>0</v>
      </c>
      <c r="B57" s="69" t="str">
        <f>IF($C$18="Enter DCA Region In The Box Above","Enter Region",IF($C$40=0,"N/A",IF(F40=0,"N/A",L57)))</f>
        <v>N/A</v>
      </c>
      <c r="C57" s="70"/>
      <c r="D57" s="69" t="str">
        <f>IF($C$18="Enter DCA Region In The Box Above","Enter Region",IF($C$41=0,"N/A",IF(F40=0,"N/A",M57)))</f>
        <v>N/A</v>
      </c>
      <c r="E57" s="70"/>
      <c r="F57" s="69" t="str">
        <f>IF($C$18="Enter DCA Region In The Box Above","Enter Region",IF($C$42=0,"N/A",IF(F40=0,"N/A",N57)))</f>
        <v>N/A</v>
      </c>
      <c r="G57" s="70"/>
      <c r="H57" s="69" t="str">
        <f>IF($C$18="Enter DCA Region In The Box Above","Enter Region",IF($C$43=0,"N/A",IF(F40=0,"N/A",O57)))</f>
        <v>N/A</v>
      </c>
      <c r="I57" s="71"/>
      <c r="J57" s="17"/>
      <c r="K57" s="17"/>
      <c r="L57" s="72" t="e">
        <f>H100/0.95</f>
        <v>#N/A</v>
      </c>
      <c r="M57" s="73" t="e">
        <f>H112/0.95</f>
        <v>#N/A</v>
      </c>
      <c r="N57" s="73" t="e">
        <f>H124/0.95</f>
        <v>#N/A</v>
      </c>
      <c r="O57" s="73" t="e">
        <f>H136/0.95</f>
        <v>#N/A</v>
      </c>
      <c r="R57" s="58"/>
    </row>
    <row r="58" spans="1:18" ht="18" x14ac:dyDescent="0.25">
      <c r="A58" s="68">
        <f>$H$41</f>
        <v>0</v>
      </c>
      <c r="B58" s="69" t="str">
        <f>IF($C$18="Enter DCA Region In The Box Above","Enter Region",IF($C$40=0,"N/A",IF(F41=0,"N/A",L58)))</f>
        <v>N/A</v>
      </c>
      <c r="C58" s="70"/>
      <c r="D58" s="69" t="str">
        <f>IF($C$18="Enter DCA Region In The Box Above","Enter Region",IF($C$41=0,"N/A",IF(F41=0,"N/A",M58)))</f>
        <v>N/A</v>
      </c>
      <c r="E58" s="70"/>
      <c r="F58" s="69" t="str">
        <f>IF($C$18="Enter DCA Region In The Box Above","Enter Region",IF($C$42=0,"N/A",IF(F41=0,"N/A",N58)))</f>
        <v>N/A</v>
      </c>
      <c r="G58" s="70"/>
      <c r="H58" s="69" t="str">
        <f>IF($C$18="Enter DCA Region In The Box Above","Enter Region",IF($C$43=0,"N/A",IF(F41=0,"N/A",O58)))</f>
        <v>N/A</v>
      </c>
      <c r="I58" s="71"/>
      <c r="J58" s="17"/>
      <c r="K58" s="17"/>
      <c r="L58" s="72" t="e">
        <f>H101/0.95</f>
        <v>#N/A</v>
      </c>
      <c r="M58" s="73" t="e">
        <f>H113/0.95</f>
        <v>#N/A</v>
      </c>
      <c r="N58" s="73" t="e">
        <f>H125/0.95</f>
        <v>#N/A</v>
      </c>
      <c r="O58" s="73" t="e">
        <f>H137/0.95</f>
        <v>#N/A</v>
      </c>
      <c r="R58" s="58"/>
    </row>
    <row r="59" spans="1:18" ht="18" x14ac:dyDescent="0.25">
      <c r="A59" s="68">
        <f>$H$42</f>
        <v>0</v>
      </c>
      <c r="B59" s="69" t="str">
        <f>IF($C$18="Enter DCA Region In The Box Above","Enter Region",IF($C$40=0,"N/A",IF(F42=0,"N/A",L59)))</f>
        <v>N/A</v>
      </c>
      <c r="C59" s="70"/>
      <c r="D59" s="69" t="str">
        <f>IF($C$18="Enter DCA Region In The Box Above","Enter Region",IF($C$41=0,"N/A",IF(F42=0,"N/A",M59)))</f>
        <v>N/A</v>
      </c>
      <c r="E59" s="70"/>
      <c r="F59" s="69" t="str">
        <f>IF($C$18="Enter DCA Region In The Box Above","Enter Region",IF($C$42=0,"N/A",IF(F42=0,"N/A",N59)))</f>
        <v>N/A</v>
      </c>
      <c r="G59" s="70"/>
      <c r="H59" s="69" t="str">
        <f>IF($C$18="Enter DCA Region In The Box Above","Enter Region",IF($C$43=0,"N/A",IF(F42=0,"N/A",O59)))</f>
        <v>N/A</v>
      </c>
      <c r="I59" s="71"/>
      <c r="J59" s="17"/>
      <c r="K59" s="17"/>
      <c r="L59" s="72" t="e">
        <f>H102/0.95</f>
        <v>#N/A</v>
      </c>
      <c r="M59" s="73" t="e">
        <f>H114/0.95</f>
        <v>#N/A</v>
      </c>
      <c r="N59" s="73" t="e">
        <f>H126/0.95</f>
        <v>#N/A</v>
      </c>
      <c r="O59" s="73" t="e">
        <f>H138/0.95</f>
        <v>#N/A</v>
      </c>
    </row>
    <row r="60" spans="1:18" s="84" customFormat="1" ht="18" x14ac:dyDescent="0.25">
      <c r="A60" s="78" t="s">
        <v>101</v>
      </c>
      <c r="B60" s="79" t="e">
        <f ca="1">IF($C$18="Enter DCA Region In The Box Above","Enter Region",L60)</f>
        <v>#N/A</v>
      </c>
      <c r="C60" s="79"/>
      <c r="D60" s="80" t="e">
        <f ca="1">IF($C$18="Enter DCA Region In The Box Above","Enter Region",M60)</f>
        <v>#N/A</v>
      </c>
      <c r="E60" s="79"/>
      <c r="F60" s="80" t="e">
        <f ca="1">IF($C$18="Enter DCA Region In The Box Above","Enter Region",N60)</f>
        <v>#N/A</v>
      </c>
      <c r="G60" s="79"/>
      <c r="H60" s="80" t="e">
        <f ca="1">IF($C$18="Enter DCA Region In The Box Above","Enter Region",O60)</f>
        <v>#N/A</v>
      </c>
      <c r="I60" s="79"/>
      <c r="J60" s="81"/>
      <c r="K60" s="81"/>
      <c r="L60" s="82" t="e">
        <f ca="1">H103/0.9</f>
        <v>#N/A</v>
      </c>
      <c r="M60" s="83" t="e">
        <f ca="1">H115/0.9</f>
        <v>#N/A</v>
      </c>
      <c r="N60" s="83" t="e">
        <f ca="1">H127/0.9</f>
        <v>#N/A</v>
      </c>
      <c r="O60" s="83" t="e">
        <f ca="1">H139/0.9</f>
        <v>#N/A</v>
      </c>
    </row>
    <row r="61" spans="1:18" ht="18" x14ac:dyDescent="0.25">
      <c r="A61" s="66"/>
      <c r="B61" s="70"/>
      <c r="C61" s="70"/>
      <c r="D61" s="70"/>
      <c r="E61" s="70"/>
      <c r="F61" s="70"/>
      <c r="G61" s="70"/>
      <c r="H61" s="70"/>
      <c r="I61" s="71"/>
      <c r="J61" s="17"/>
      <c r="K61" s="17"/>
      <c r="L61" s="72"/>
      <c r="M61" s="73"/>
      <c r="N61" s="73"/>
      <c r="O61" s="73"/>
    </row>
    <row r="62" spans="1:18" ht="20.25" x14ac:dyDescent="0.3">
      <c r="A62" s="186" t="s">
        <v>85</v>
      </c>
      <c r="B62" s="186"/>
      <c r="C62" s="186"/>
      <c r="D62" s="186"/>
      <c r="E62" s="186"/>
      <c r="F62" s="186"/>
      <c r="G62" s="186"/>
      <c r="H62" s="186"/>
      <c r="I62" s="186"/>
      <c r="J62" s="186"/>
      <c r="K62" s="17"/>
      <c r="L62" s="72"/>
      <c r="M62" s="73"/>
      <c r="N62" s="73"/>
      <c r="O62" s="73"/>
    </row>
    <row r="63" spans="1:18" ht="20.25" x14ac:dyDescent="0.3">
      <c r="A63" s="85"/>
      <c r="B63" s="85"/>
      <c r="C63" s="85"/>
      <c r="D63" s="85"/>
      <c r="E63" s="85"/>
      <c r="F63" s="85"/>
      <c r="G63" s="85"/>
      <c r="H63" s="85"/>
      <c r="I63" s="85"/>
      <c r="J63" s="85"/>
      <c r="K63" s="17"/>
      <c r="L63" s="72"/>
      <c r="M63" s="73"/>
      <c r="N63" s="73"/>
      <c r="O63" s="73"/>
    </row>
    <row r="64" spans="1:18" ht="171.75" customHeight="1" x14ac:dyDescent="0.2">
      <c r="A64" s="187" t="s">
        <v>114</v>
      </c>
      <c r="B64" s="188"/>
      <c r="C64" s="188"/>
      <c r="D64" s="188"/>
      <c r="E64" s="188"/>
      <c r="F64" s="188"/>
      <c r="G64" s="188"/>
      <c r="H64" s="188"/>
      <c r="I64" s="188"/>
      <c r="J64" s="189"/>
      <c r="K64" s="17"/>
      <c r="L64" s="72"/>
      <c r="M64" s="73"/>
      <c r="N64" s="73"/>
      <c r="O64" s="73"/>
    </row>
    <row r="65" spans="1:15" ht="18" x14ac:dyDescent="0.25">
      <c r="A65" s="17"/>
      <c r="B65" s="86"/>
      <c r="C65" s="86"/>
      <c r="D65" s="86"/>
      <c r="E65" s="86"/>
      <c r="F65" s="86"/>
      <c r="G65" s="86"/>
      <c r="H65" s="86"/>
      <c r="I65" s="86"/>
      <c r="J65" s="17"/>
      <c r="K65" s="17"/>
      <c r="L65" s="72"/>
      <c r="M65" s="73"/>
      <c r="N65" s="73"/>
      <c r="O65" s="73"/>
    </row>
    <row r="66" spans="1:15" ht="18" x14ac:dyDescent="0.25">
      <c r="A66" s="17"/>
      <c r="B66" s="208" t="s">
        <v>98</v>
      </c>
      <c r="C66" s="208"/>
      <c r="D66" s="208"/>
      <c r="E66" s="209"/>
      <c r="F66" s="210" t="s">
        <v>98</v>
      </c>
      <c r="G66" s="208"/>
      <c r="H66" s="208"/>
      <c r="I66" s="208"/>
      <c r="J66" s="208"/>
      <c r="K66" s="17"/>
      <c r="L66" s="72"/>
      <c r="M66" s="73"/>
      <c r="N66" s="73"/>
      <c r="O66" s="73"/>
    </row>
    <row r="67" spans="1:15" ht="18" x14ac:dyDescent="0.25">
      <c r="A67" s="66"/>
      <c r="B67" s="208" t="s">
        <v>99</v>
      </c>
      <c r="C67" s="208"/>
      <c r="D67" s="208"/>
      <c r="E67" s="209"/>
      <c r="F67" s="210" t="s">
        <v>100</v>
      </c>
      <c r="G67" s="208"/>
      <c r="H67" s="208"/>
      <c r="I67" s="208"/>
      <c r="J67" s="208"/>
      <c r="K67" s="17"/>
      <c r="L67" s="72"/>
      <c r="M67" s="73"/>
      <c r="N67" s="73"/>
      <c r="O67" s="73"/>
    </row>
    <row r="68" spans="1:15" ht="36" x14ac:dyDescent="0.25">
      <c r="A68" s="18"/>
      <c r="B68" s="87" t="s">
        <v>83</v>
      </c>
      <c r="C68" s="87"/>
      <c r="D68" s="88">
        <f>H37</f>
        <v>0</v>
      </c>
      <c r="E68" s="89">
        <f>H38</f>
        <v>0</v>
      </c>
      <c r="F68" s="90" t="s">
        <v>82</v>
      </c>
      <c r="G68" s="18"/>
      <c r="H68" s="91">
        <f>H40</f>
        <v>0</v>
      </c>
      <c r="I68" s="91">
        <f>H41</f>
        <v>0</v>
      </c>
      <c r="J68" s="91">
        <f>H42</f>
        <v>0</v>
      </c>
      <c r="K68" s="17"/>
      <c r="L68" s="72"/>
      <c r="M68" s="73"/>
      <c r="N68" s="73"/>
      <c r="O68" s="73"/>
    </row>
    <row r="69" spans="1:15" ht="18" x14ac:dyDescent="0.25">
      <c r="A69" s="92" t="s">
        <v>79</v>
      </c>
      <c r="B69" s="93">
        <f>ROUNDUP(C40/2,0)</f>
        <v>0</v>
      </c>
      <c r="C69" s="94">
        <f>D69+E69</f>
        <v>0</v>
      </c>
      <c r="D69" s="95"/>
      <c r="E69" s="96"/>
      <c r="F69" s="97">
        <f>C40-B69</f>
        <v>0</v>
      </c>
      <c r="G69" s="98">
        <f>SUM(H69:J69)</f>
        <v>0</v>
      </c>
      <c r="H69" s="95"/>
      <c r="I69" s="95"/>
      <c r="J69" s="95"/>
      <c r="K69" s="17"/>
      <c r="L69" s="72"/>
      <c r="M69" s="73"/>
      <c r="N69" s="73"/>
      <c r="O69" s="73"/>
    </row>
    <row r="70" spans="1:15" ht="18" x14ac:dyDescent="0.25">
      <c r="A70" s="92" t="s">
        <v>78</v>
      </c>
      <c r="B70" s="93">
        <f>ROUNDUP(C41/2,0)</f>
        <v>0</v>
      </c>
      <c r="C70" s="94">
        <f>D70+E70</f>
        <v>0</v>
      </c>
      <c r="D70" s="95"/>
      <c r="E70" s="96"/>
      <c r="F70" s="97">
        <f>C41-B70</f>
        <v>0</v>
      </c>
      <c r="G70" s="98">
        <f>SUM(H70:J70)</f>
        <v>0</v>
      </c>
      <c r="H70" s="95"/>
      <c r="I70" s="95"/>
      <c r="J70" s="95"/>
      <c r="K70" s="17"/>
      <c r="L70" s="72"/>
      <c r="M70" s="73"/>
      <c r="N70" s="73"/>
      <c r="O70" s="73"/>
    </row>
    <row r="71" spans="1:15" ht="18" x14ac:dyDescent="0.25">
      <c r="A71" s="92" t="s">
        <v>77</v>
      </c>
      <c r="B71" s="93">
        <f>ROUNDUP(C42/2,0)</f>
        <v>0</v>
      </c>
      <c r="C71" s="94">
        <f>D71+E71</f>
        <v>0</v>
      </c>
      <c r="D71" s="95"/>
      <c r="E71" s="96"/>
      <c r="F71" s="97">
        <f>C42-B71</f>
        <v>0</v>
      </c>
      <c r="G71" s="98">
        <f>SUM(H71:J71)</f>
        <v>0</v>
      </c>
      <c r="H71" s="95"/>
      <c r="I71" s="95"/>
      <c r="J71" s="95"/>
      <c r="K71" s="17"/>
      <c r="L71" s="72"/>
      <c r="M71" s="73"/>
      <c r="N71" s="73"/>
      <c r="O71" s="73"/>
    </row>
    <row r="72" spans="1:15" ht="18" x14ac:dyDescent="0.25">
      <c r="A72" s="92" t="s">
        <v>76</v>
      </c>
      <c r="B72" s="93">
        <f>ROUNDUP(C43/2,0)</f>
        <v>0</v>
      </c>
      <c r="C72" s="94">
        <f>D72+E72</f>
        <v>0</v>
      </c>
      <c r="D72" s="95"/>
      <c r="E72" s="96"/>
      <c r="F72" s="97">
        <f>C43-B72</f>
        <v>0</v>
      </c>
      <c r="G72" s="98">
        <f>SUM(H72:J72)</f>
        <v>0</v>
      </c>
      <c r="H72" s="95"/>
      <c r="I72" s="95"/>
      <c r="J72" s="95"/>
      <c r="K72" s="17"/>
      <c r="L72" s="72"/>
      <c r="M72" s="73"/>
      <c r="N72" s="73"/>
      <c r="O72" s="73"/>
    </row>
    <row r="73" spans="1:15" ht="36" x14ac:dyDescent="0.25">
      <c r="A73" s="18"/>
      <c r="B73" s="130" t="str">
        <f>"Total: "&amp;TEXT(SUM(B69:B72),"0")</f>
        <v>Total: 0</v>
      </c>
      <c r="C73" s="99" t="s">
        <v>81</v>
      </c>
      <c r="D73" s="94">
        <f>SUM(D69:D72)</f>
        <v>0</v>
      </c>
      <c r="E73" s="100">
        <f>SUM(E69:E72)</f>
        <v>0</v>
      </c>
      <c r="F73" s="130" t="str">
        <f>"Total: "&amp;TEXT(SUM(F69:F72),"0")</f>
        <v>Total: 0</v>
      </c>
      <c r="G73" s="101" t="s">
        <v>80</v>
      </c>
      <c r="H73" s="98">
        <f>SUM(H69:H72)</f>
        <v>0</v>
      </c>
      <c r="I73" s="98">
        <f>SUM(I69:I72)</f>
        <v>0</v>
      </c>
      <c r="J73" s="98">
        <f>SUM(J69:J72)</f>
        <v>0</v>
      </c>
      <c r="K73" s="17"/>
      <c r="L73" s="72"/>
      <c r="M73" s="73"/>
      <c r="N73" s="73"/>
      <c r="O73" s="73"/>
    </row>
    <row r="74" spans="1:15" ht="42.75" customHeight="1" x14ac:dyDescent="0.25">
      <c r="A74" s="18"/>
      <c r="B74" s="183" t="str">
        <f>IF(D73&gt;D74,"Too many "&amp;TEXT(D68,"0%")&amp;" units entered",IF(E73&gt;E74,"Too many "&amp;TEXT(E68,"0%")&amp;" units enetered",""))</f>
        <v/>
      </c>
      <c r="C74" s="184"/>
      <c r="D74" s="102">
        <f>F37</f>
        <v>0</v>
      </c>
      <c r="E74" s="103">
        <f>F38</f>
        <v>0</v>
      </c>
      <c r="F74" s="183" t="str">
        <f>IF(H73&gt;H74,"Too many "&amp;TEXT(H68,"0%")&amp;" units entered",IF(I73&gt;I74,"Too many "&amp;TEXT(I68,"0%")&amp;" units enetered",IF(J73&gt;J74,"Too many "&amp;TEXT(J68,"0%")&amp;" units enetered","")))</f>
        <v/>
      </c>
      <c r="G74" s="184"/>
      <c r="H74" s="102">
        <f>F40</f>
        <v>0</v>
      </c>
      <c r="I74" s="102">
        <f>F41</f>
        <v>0</v>
      </c>
      <c r="J74" s="102">
        <f>F42</f>
        <v>0</v>
      </c>
      <c r="K74" s="17"/>
      <c r="L74" s="72"/>
      <c r="M74" s="73"/>
      <c r="N74" s="73"/>
      <c r="O74" s="73"/>
    </row>
    <row r="75" spans="1:15" ht="43.5" customHeight="1" x14ac:dyDescent="0.3">
      <c r="A75" s="180" t="str">
        <f>IF(A47&lt;&gt;"","PROPOSED DISTRIBUTION OF UNIT TYPES WILL NOT COMPLY WITH RULES.  REALLOCATE THE NUMBER OF UNITS BY UNIT BEDROOM SIZE IN PROJECT DATA SECTION.","")</f>
        <v/>
      </c>
      <c r="B75" s="181"/>
      <c r="C75" s="181"/>
      <c r="D75" s="181"/>
      <c r="E75" s="181"/>
      <c r="F75" s="181"/>
      <c r="G75" s="181"/>
      <c r="H75" s="181"/>
      <c r="I75" s="181"/>
      <c r="J75" s="182"/>
      <c r="K75" s="18"/>
      <c r="L75" s="72"/>
      <c r="M75" s="73"/>
      <c r="N75" s="73"/>
      <c r="O75" s="73"/>
    </row>
    <row r="76" spans="1:15" ht="23.25" customHeight="1" x14ac:dyDescent="0.2">
      <c r="A76" s="17"/>
      <c r="B76" s="17"/>
      <c r="C76" s="17"/>
      <c r="D76" s="17"/>
      <c r="E76" s="17"/>
      <c r="F76" s="17"/>
      <c r="G76" s="17"/>
      <c r="H76" s="17"/>
      <c r="I76" s="17"/>
      <c r="J76" s="17"/>
      <c r="K76" s="17"/>
      <c r="L76" s="72"/>
      <c r="M76" s="73"/>
      <c r="N76" s="73"/>
      <c r="O76" s="73"/>
    </row>
    <row r="77" spans="1:15" ht="20.25" x14ac:dyDescent="0.3">
      <c r="A77" s="17"/>
      <c r="B77" s="186" t="s">
        <v>112</v>
      </c>
      <c r="C77" s="186"/>
      <c r="D77" s="186"/>
      <c r="E77" s="186"/>
      <c r="F77" s="186"/>
      <c r="G77" s="186"/>
      <c r="H77" s="186"/>
      <c r="I77" s="86"/>
      <c r="J77" s="17"/>
      <c r="K77" s="17"/>
      <c r="L77" s="72"/>
      <c r="M77" s="73"/>
      <c r="N77" s="73"/>
      <c r="O77" s="73"/>
    </row>
    <row r="78" spans="1:15" ht="20.25" x14ac:dyDescent="0.3">
      <c r="A78" s="17"/>
      <c r="B78" s="85"/>
      <c r="C78" s="85"/>
      <c r="D78" s="85"/>
      <c r="E78" s="85"/>
      <c r="F78" s="85"/>
      <c r="G78" s="85"/>
      <c r="H78" s="85"/>
      <c r="I78" s="86"/>
      <c r="J78" s="17"/>
      <c r="K78" s="17"/>
      <c r="L78" s="72"/>
      <c r="M78" s="73"/>
      <c r="N78" s="73"/>
      <c r="O78" s="73"/>
    </row>
    <row r="79" spans="1:15" ht="18" x14ac:dyDescent="0.25">
      <c r="A79" s="17"/>
      <c r="B79" s="18"/>
      <c r="C79" s="17"/>
      <c r="D79" s="213" t="s">
        <v>104</v>
      </c>
      <c r="E79" s="214"/>
      <c r="F79" s="214"/>
      <c r="G79" s="214"/>
      <c r="H79" s="215"/>
      <c r="I79" s="18"/>
      <c r="J79" s="18"/>
      <c r="K79" s="18"/>
      <c r="L79" s="72"/>
      <c r="M79" s="73"/>
      <c r="N79" s="73"/>
      <c r="O79" s="73"/>
    </row>
    <row r="80" spans="1:15" ht="18" x14ac:dyDescent="0.25">
      <c r="A80" s="17"/>
      <c r="B80" s="18"/>
      <c r="C80" s="86" t="s">
        <v>34</v>
      </c>
      <c r="D80" s="91">
        <f>H37</f>
        <v>0</v>
      </c>
      <c r="E80" s="91">
        <f>H38</f>
        <v>0</v>
      </c>
      <c r="F80" s="91">
        <f>H40</f>
        <v>0</v>
      </c>
      <c r="G80" s="91">
        <f>H41</f>
        <v>0</v>
      </c>
      <c r="H80" s="91">
        <f>H42</f>
        <v>0</v>
      </c>
      <c r="I80" s="17"/>
      <c r="J80" s="17"/>
      <c r="K80" s="17"/>
      <c r="L80" s="72"/>
      <c r="M80" s="73"/>
      <c r="N80" s="73"/>
      <c r="O80" s="73"/>
    </row>
    <row r="81" spans="1:18" ht="18" x14ac:dyDescent="0.25">
      <c r="A81" s="17"/>
      <c r="B81" s="92" t="s">
        <v>79</v>
      </c>
      <c r="C81" s="104">
        <f>SUM(D81:H81)</f>
        <v>0</v>
      </c>
      <c r="D81" s="104">
        <f>D69*B54</f>
        <v>0</v>
      </c>
      <c r="E81" s="104">
        <f>E69*B55</f>
        <v>0</v>
      </c>
      <c r="F81" s="104">
        <f>H69*B57</f>
        <v>0</v>
      </c>
      <c r="G81" s="104">
        <f>I69*B58</f>
        <v>0</v>
      </c>
      <c r="H81" s="104">
        <f>J69*B59</f>
        <v>0</v>
      </c>
      <c r="I81" s="17"/>
      <c r="J81" s="17"/>
      <c r="K81" s="17"/>
      <c r="L81" s="72"/>
      <c r="M81" s="73"/>
      <c r="N81" s="73"/>
      <c r="O81" s="73"/>
    </row>
    <row r="82" spans="1:18" ht="18" x14ac:dyDescent="0.25">
      <c r="A82" s="17"/>
      <c r="B82" s="92" t="s">
        <v>78</v>
      </c>
      <c r="C82" s="104">
        <f>SUM(D82:H82)</f>
        <v>0</v>
      </c>
      <c r="D82" s="104">
        <f>D70*D54</f>
        <v>0</v>
      </c>
      <c r="E82" s="104">
        <f>E70*D55</f>
        <v>0</v>
      </c>
      <c r="F82" s="104">
        <f>H70*D57</f>
        <v>0</v>
      </c>
      <c r="G82" s="104">
        <f>I70*D58</f>
        <v>0</v>
      </c>
      <c r="H82" s="104">
        <f>J70*D59</f>
        <v>0</v>
      </c>
      <c r="I82" s="17"/>
      <c r="J82" s="17"/>
      <c r="K82" s="17"/>
      <c r="L82" s="72"/>
      <c r="M82" s="73"/>
      <c r="N82" s="73"/>
      <c r="O82" s="73"/>
    </row>
    <row r="83" spans="1:18" ht="18" x14ac:dyDescent="0.25">
      <c r="A83" s="17"/>
      <c r="B83" s="92" t="s">
        <v>77</v>
      </c>
      <c r="C83" s="104">
        <f>SUM(D83:H83)</f>
        <v>0</v>
      </c>
      <c r="D83" s="104">
        <f>D71*F54</f>
        <v>0</v>
      </c>
      <c r="E83" s="104">
        <f>E71*F55</f>
        <v>0</v>
      </c>
      <c r="F83" s="104">
        <f>H71*F57</f>
        <v>0</v>
      </c>
      <c r="G83" s="104">
        <f>I71*F58</f>
        <v>0</v>
      </c>
      <c r="H83" s="104">
        <f>J71*F59</f>
        <v>0</v>
      </c>
      <c r="I83" s="17"/>
      <c r="J83" s="17"/>
      <c r="K83" s="17"/>
      <c r="L83" s="72"/>
      <c r="M83" s="73"/>
      <c r="N83" s="73"/>
      <c r="O83" s="73"/>
    </row>
    <row r="84" spans="1:18" ht="18" x14ac:dyDescent="0.25">
      <c r="A84" s="17"/>
      <c r="B84" s="92" t="s">
        <v>76</v>
      </c>
      <c r="C84" s="104">
        <f>SUM(D84:H84)</f>
        <v>0</v>
      </c>
      <c r="D84" s="104">
        <f>D72*H54</f>
        <v>0</v>
      </c>
      <c r="E84" s="104">
        <f>E72*H55</f>
        <v>0</v>
      </c>
      <c r="F84" s="104">
        <f>H72*H59</f>
        <v>0</v>
      </c>
      <c r="G84" s="104">
        <f>I72*H58</f>
        <v>0</v>
      </c>
      <c r="H84" s="104">
        <f>J72*H59</f>
        <v>0</v>
      </c>
      <c r="I84" s="17"/>
      <c r="J84" s="17"/>
      <c r="K84" s="17"/>
      <c r="L84" s="72"/>
      <c r="M84" s="73"/>
      <c r="N84" s="73"/>
      <c r="O84" s="73"/>
    </row>
    <row r="85" spans="1:18" ht="18" x14ac:dyDescent="0.25">
      <c r="A85" s="17"/>
      <c r="B85" s="18"/>
      <c r="C85" s="104"/>
      <c r="D85" s="104"/>
      <c r="E85" s="104"/>
      <c r="F85" s="104"/>
      <c r="G85" s="104"/>
      <c r="H85" s="104"/>
      <c r="I85" s="17"/>
      <c r="J85" s="17"/>
      <c r="K85" s="17"/>
      <c r="L85" s="15"/>
    </row>
    <row r="86" spans="1:18" ht="18" x14ac:dyDescent="0.25">
      <c r="A86" s="17"/>
      <c r="B86" s="49" t="s">
        <v>34</v>
      </c>
      <c r="C86" s="105">
        <f>SUM(D86:H86)</f>
        <v>0</v>
      </c>
      <c r="D86" s="104">
        <f>SUM(D81:D84)</f>
        <v>0</v>
      </c>
      <c r="E86" s="104">
        <f>SUM(E81:E84)</f>
        <v>0</v>
      </c>
      <c r="F86" s="104">
        <f>SUM(F81:F84)</f>
        <v>0</v>
      </c>
      <c r="G86" s="104">
        <f>SUM(G81:G84)</f>
        <v>0</v>
      </c>
      <c r="H86" s="104">
        <f>SUM(H81:H84)</f>
        <v>0</v>
      </c>
      <c r="I86" s="17"/>
      <c r="J86" s="17"/>
      <c r="K86" s="17"/>
      <c r="L86" s="15"/>
    </row>
    <row r="87" spans="1:18" ht="18" x14ac:dyDescent="0.25">
      <c r="A87" s="49"/>
      <c r="B87" s="49"/>
      <c r="C87" s="106"/>
      <c r="D87" s="45"/>
      <c r="E87" s="18"/>
      <c r="F87" s="18"/>
      <c r="G87" s="18"/>
      <c r="H87" s="18"/>
      <c r="I87" s="18"/>
      <c r="J87" s="18"/>
      <c r="K87" s="17"/>
      <c r="L87" s="15"/>
    </row>
    <row r="88" spans="1:18" ht="18" x14ac:dyDescent="0.25">
      <c r="A88" s="49"/>
      <c r="B88" s="49"/>
      <c r="C88" s="106"/>
      <c r="D88" s="45"/>
      <c r="E88" s="18"/>
      <c r="F88" s="18"/>
      <c r="G88" s="18"/>
      <c r="H88" s="18"/>
      <c r="I88" s="18"/>
      <c r="J88" s="18"/>
      <c r="K88" s="17"/>
      <c r="L88" s="15"/>
    </row>
    <row r="89" spans="1:18" ht="20.25" x14ac:dyDescent="0.3">
      <c r="A89" s="186" t="s">
        <v>33</v>
      </c>
      <c r="B89" s="186"/>
      <c r="C89" s="186"/>
      <c r="D89" s="186"/>
      <c r="E89" s="186"/>
      <c r="F89" s="186"/>
      <c r="G89" s="186"/>
      <c r="H89" s="186"/>
      <c r="I89" s="59"/>
      <c r="J89" s="59"/>
      <c r="K89" s="59"/>
      <c r="L89" s="15"/>
    </row>
    <row r="90" spans="1:18" ht="18" customHeight="1" x14ac:dyDescent="0.25">
      <c r="A90" s="199" t="s">
        <v>97</v>
      </c>
      <c r="B90" s="199"/>
      <c r="C90" s="199"/>
      <c r="D90" s="199"/>
      <c r="E90" s="199"/>
      <c r="F90" s="199"/>
      <c r="G90" s="199"/>
      <c r="H90" s="199"/>
      <c r="I90" s="59"/>
      <c r="J90" s="59"/>
      <c r="K90" s="59"/>
      <c r="L90" s="15"/>
    </row>
    <row r="91" spans="1:18" ht="18" customHeight="1" x14ac:dyDescent="0.25">
      <c r="A91" s="18"/>
      <c r="B91" s="86"/>
      <c r="C91" s="86"/>
      <c r="D91" s="86"/>
      <c r="E91" s="86"/>
      <c r="F91" s="86"/>
      <c r="G91" s="86"/>
      <c r="H91" s="18"/>
      <c r="I91" s="18"/>
      <c r="J91" s="18"/>
      <c r="K91" s="17"/>
      <c r="L91" s="15"/>
    </row>
    <row r="92" spans="1:18" ht="18" x14ac:dyDescent="0.25">
      <c r="A92" s="18"/>
      <c r="B92" s="18"/>
      <c r="C92" s="49"/>
      <c r="D92" s="18"/>
      <c r="E92" s="18"/>
      <c r="F92" s="18"/>
      <c r="G92" s="18"/>
      <c r="H92" s="18"/>
      <c r="I92" s="18"/>
      <c r="J92" s="18"/>
      <c r="K92" s="17"/>
      <c r="L92" s="15"/>
    </row>
    <row r="93" spans="1:18" ht="18" x14ac:dyDescent="0.2">
      <c r="A93" s="198" t="s">
        <v>115</v>
      </c>
      <c r="B93" s="198"/>
      <c r="C93" s="198"/>
      <c r="D93" s="198"/>
      <c r="E93" s="198"/>
      <c r="F93" s="198"/>
      <c r="G93" s="198"/>
      <c r="H93" s="198"/>
      <c r="I93" s="107"/>
      <c r="J93" s="107"/>
      <c r="K93" s="107"/>
      <c r="L93" s="15"/>
    </row>
    <row r="94" spans="1:18" ht="18" x14ac:dyDescent="0.25">
      <c r="A94" s="18"/>
      <c r="B94" s="18"/>
      <c r="C94" s="62"/>
      <c r="D94" s="62"/>
      <c r="E94" s="62"/>
      <c r="F94" s="62"/>
      <c r="G94" s="62"/>
      <c r="H94" s="18"/>
      <c r="I94" s="18"/>
      <c r="J94" s="18"/>
      <c r="K94" s="17"/>
      <c r="L94" s="15"/>
      <c r="R94" s="108"/>
    </row>
    <row r="95" spans="1:18" ht="36" x14ac:dyDescent="0.25">
      <c r="A95" s="109" t="str">
        <f>A52</f>
        <v>% of Median
Unit Priced at</v>
      </c>
      <c r="B95" s="110" t="s">
        <v>34</v>
      </c>
      <c r="C95" s="109" t="s">
        <v>109</v>
      </c>
      <c r="D95" s="109" t="s">
        <v>105</v>
      </c>
      <c r="E95" s="109" t="s">
        <v>106</v>
      </c>
      <c r="F95" s="110" t="s">
        <v>21</v>
      </c>
      <c r="G95" s="109" t="s">
        <v>107</v>
      </c>
      <c r="H95" s="109" t="s">
        <v>108</v>
      </c>
      <c r="I95" s="66"/>
      <c r="J95" s="66"/>
      <c r="K95" s="17"/>
      <c r="L95" s="15"/>
      <c r="Q95" s="16" t="s">
        <v>27</v>
      </c>
    </row>
    <row r="96" spans="1:18" ht="18" x14ac:dyDescent="0.25">
      <c r="A96" s="18"/>
      <c r="B96" s="111"/>
      <c r="C96" s="111"/>
      <c r="D96" s="111"/>
      <c r="E96" s="111"/>
      <c r="F96" s="111"/>
      <c r="G96" s="111"/>
      <c r="H96" s="111"/>
      <c r="I96" s="111"/>
      <c r="J96" s="111"/>
      <c r="K96" s="17"/>
      <c r="L96" s="15"/>
      <c r="Q96" s="16" t="s">
        <v>27</v>
      </c>
      <c r="R96" s="108"/>
    </row>
    <row r="97" spans="1:18" ht="18" x14ac:dyDescent="0.25">
      <c r="A97" s="68">
        <f>$H$37</f>
        <v>0</v>
      </c>
      <c r="B97" s="111" t="e">
        <f>(0.28)*((($C$159)+($D$159))/2)/12</f>
        <v>#N/A</v>
      </c>
      <c r="C97" s="111" t="e">
        <f>IF(B97=0,0,($C$23))</f>
        <v>#N/A</v>
      </c>
      <c r="D97" s="111" t="e">
        <f>IF(B97=0,0,($C$26))</f>
        <v>#N/A</v>
      </c>
      <c r="E97" s="111">
        <f>(((B54)*(C$25))/100)*((C$24)/12)</f>
        <v>0</v>
      </c>
      <c r="F97" s="111">
        <f>((B54*0.95)/1000)*((C$29)/12)</f>
        <v>0</v>
      </c>
      <c r="G97" s="111" t="e">
        <f>(B97)-C97-D97-E97-F97</f>
        <v>#N/A</v>
      </c>
      <c r="H97" s="111" t="e">
        <f>PV($C$22/12,$C$27*12,-G97)</f>
        <v>#N/A</v>
      </c>
      <c r="I97" s="111"/>
      <c r="J97" s="111"/>
      <c r="K97" s="17"/>
      <c r="L97" s="15"/>
      <c r="Q97" s="16" t="s">
        <v>27</v>
      </c>
    </row>
    <row r="98" spans="1:18" ht="18" x14ac:dyDescent="0.25">
      <c r="A98" s="68">
        <f>$H$38</f>
        <v>0</v>
      </c>
      <c r="B98" s="111" t="e">
        <f>(0.28)*((($C$160)+($D$160))/2)/12</f>
        <v>#N/A</v>
      </c>
      <c r="C98" s="111" t="e">
        <f>IF(B98=0,0,($C$23))</f>
        <v>#N/A</v>
      </c>
      <c r="D98" s="111" t="e">
        <f>IF(B98=0,0,($C$26))</f>
        <v>#N/A</v>
      </c>
      <c r="E98" s="111">
        <f>(((B55)*(C$25))/100)*((C$24)/12)</f>
        <v>0</v>
      </c>
      <c r="F98" s="111">
        <f>((B55*0.95)/1000)*((C$29)/12)</f>
        <v>0</v>
      </c>
      <c r="G98" s="111" t="e">
        <f>(B98)-C98-D98-E98-F98</f>
        <v>#N/A</v>
      </c>
      <c r="H98" s="111" t="e">
        <f>PV($C$22/12,$C$27*12,-G98)</f>
        <v>#N/A</v>
      </c>
      <c r="I98" s="111"/>
      <c r="J98" s="111"/>
      <c r="K98" s="17"/>
      <c r="L98" s="15"/>
    </row>
    <row r="99" spans="1:18" ht="18" x14ac:dyDescent="0.25">
      <c r="A99" s="18"/>
      <c r="B99" s="111"/>
      <c r="C99" s="111"/>
      <c r="D99" s="111"/>
      <c r="E99" s="111"/>
      <c r="F99" s="111"/>
      <c r="G99" s="111"/>
      <c r="H99" s="111"/>
      <c r="I99" s="111"/>
      <c r="J99" s="111"/>
      <c r="K99" s="17"/>
      <c r="L99" s="15"/>
      <c r="Q99" s="16" t="s">
        <v>27</v>
      </c>
      <c r="R99" s="108"/>
    </row>
    <row r="100" spans="1:18" ht="18" x14ac:dyDescent="0.25">
      <c r="A100" s="68">
        <f>$H$40</f>
        <v>0</v>
      </c>
      <c r="B100" s="111" t="e">
        <f>(0.28)*((($C$162)+($D$162))/2)/12</f>
        <v>#N/A</v>
      </c>
      <c r="C100" s="111" t="e">
        <f>IF(B100=0,0,($C$23))</f>
        <v>#N/A</v>
      </c>
      <c r="D100" s="111" t="e">
        <f>IF(B100=0,0,($C$26))</f>
        <v>#N/A</v>
      </c>
      <c r="E100" s="111">
        <f>(((B57)*(C$25))/100)*((C$24)/12)</f>
        <v>0</v>
      </c>
      <c r="F100" s="111">
        <f>((B57*0.95)/1000)*((C$29)/12)</f>
        <v>0</v>
      </c>
      <c r="G100" s="111" t="e">
        <f>(B100)-C100-D100-E100-F100</f>
        <v>#N/A</v>
      </c>
      <c r="H100" s="111" t="e">
        <f>PV($C$22/12,$C$27*12,-G100)</f>
        <v>#N/A</v>
      </c>
      <c r="I100" s="111"/>
      <c r="J100" s="111"/>
      <c r="K100" s="17"/>
      <c r="L100" s="15"/>
      <c r="Q100" s="16" t="s">
        <v>27</v>
      </c>
    </row>
    <row r="101" spans="1:18" ht="18" x14ac:dyDescent="0.25">
      <c r="A101" s="68">
        <f>$H$41</f>
        <v>0</v>
      </c>
      <c r="B101" s="111" t="e">
        <f>(0.28)*((($C$163)+($D$163))/2)/12</f>
        <v>#N/A</v>
      </c>
      <c r="C101" s="111" t="e">
        <f>IF(B101=0,0,($C$23))</f>
        <v>#N/A</v>
      </c>
      <c r="D101" s="111" t="e">
        <f>IF(B101=0,0,($C$26))</f>
        <v>#N/A</v>
      </c>
      <c r="E101" s="111">
        <f>(((B58)*(C$25))/100)*((C$24)/12)</f>
        <v>0</v>
      </c>
      <c r="F101" s="111">
        <f>((B58*0.95)/1000)*((C$29)/12)</f>
        <v>0</v>
      </c>
      <c r="G101" s="111" t="e">
        <f>(B101)-C101-D101-E101-F101</f>
        <v>#N/A</v>
      </c>
      <c r="H101" s="111" t="e">
        <f>PV($C$22/12,$C$27*12,-G101)</f>
        <v>#N/A</v>
      </c>
      <c r="I101" s="111"/>
      <c r="J101" s="111"/>
      <c r="K101" s="17"/>
      <c r="L101" s="15"/>
    </row>
    <row r="102" spans="1:18" ht="18" x14ac:dyDescent="0.25">
      <c r="A102" s="68">
        <f>$H$42</f>
        <v>0</v>
      </c>
      <c r="B102" s="111" t="e">
        <f>(0.28)*((($C$164)+($D$164))/2)/12</f>
        <v>#N/A</v>
      </c>
      <c r="C102" s="111" t="e">
        <f>IF(B102=0,0,($C$23))</f>
        <v>#N/A</v>
      </c>
      <c r="D102" s="111" t="e">
        <f>IF(B102=0,0,($C$26))</f>
        <v>#N/A</v>
      </c>
      <c r="E102" s="111">
        <f>(((B59)*(C$25))/100)*((C$24)/12)</f>
        <v>0</v>
      </c>
      <c r="F102" s="111">
        <f>((B59*0.95)/1000)*((C$29)/12)</f>
        <v>0</v>
      </c>
      <c r="G102" s="111" t="e">
        <f>(B102)-C102-D102-E102-F102</f>
        <v>#N/A</v>
      </c>
      <c r="H102" s="111" t="e">
        <f>PV($C$22/12,$C$27*12,-G102)</f>
        <v>#N/A</v>
      </c>
      <c r="I102" s="111"/>
      <c r="J102" s="111"/>
      <c r="K102" s="17"/>
      <c r="L102" s="15"/>
      <c r="Q102" s="16" t="s">
        <v>27</v>
      </c>
    </row>
    <row r="103" spans="1:18" ht="18" x14ac:dyDescent="0.25">
      <c r="A103" s="78" t="s">
        <v>101</v>
      </c>
      <c r="B103" s="112" t="e">
        <f>(0.28)*((($C$165)+($D$165))/2)/12</f>
        <v>#N/A</v>
      </c>
      <c r="C103" s="112" t="e">
        <f>IF(B103=0,0,($C$23))</f>
        <v>#N/A</v>
      </c>
      <c r="D103" s="112" t="e">
        <f>IF(B103=0,0,($C$26))</f>
        <v>#N/A</v>
      </c>
      <c r="E103" s="112" t="e">
        <f ca="1">(((B60)*(C$25))/100)*((C$24)/12)</f>
        <v>#N/A</v>
      </c>
      <c r="F103" s="112" t="e">
        <f ca="1">((B60*0.95)/1000)*((C$29)/12)</f>
        <v>#N/A</v>
      </c>
      <c r="G103" s="112" t="e">
        <f ca="1">(B103)-C103-D103-E103-F103</f>
        <v>#N/A</v>
      </c>
      <c r="H103" s="112" t="e">
        <f ca="1">PV($C$22/12,$C$27*12,-G103)</f>
        <v>#N/A</v>
      </c>
      <c r="I103" s="111"/>
      <c r="J103" s="111"/>
      <c r="K103" s="17"/>
      <c r="L103" s="15"/>
      <c r="Q103" s="16" t="s">
        <v>27</v>
      </c>
    </row>
    <row r="104" spans="1:18" ht="18" x14ac:dyDescent="0.25">
      <c r="A104" s="18"/>
      <c r="B104" s="111"/>
      <c r="C104" s="111"/>
      <c r="D104" s="111"/>
      <c r="E104" s="111"/>
      <c r="F104" s="111"/>
      <c r="G104" s="111"/>
      <c r="H104" s="111"/>
      <c r="I104" s="111"/>
      <c r="J104" s="111"/>
      <c r="K104" s="17"/>
      <c r="L104" s="15"/>
    </row>
    <row r="105" spans="1:18" ht="18" x14ac:dyDescent="0.2">
      <c r="A105" s="198" t="s">
        <v>116</v>
      </c>
      <c r="B105" s="198"/>
      <c r="C105" s="198"/>
      <c r="D105" s="198"/>
      <c r="E105" s="198"/>
      <c r="F105" s="198"/>
      <c r="G105" s="198"/>
      <c r="H105" s="198"/>
      <c r="I105" s="107"/>
      <c r="J105" s="107"/>
      <c r="K105" s="107"/>
      <c r="L105" s="15"/>
    </row>
    <row r="106" spans="1:18" ht="18" x14ac:dyDescent="0.25">
      <c r="A106" s="18"/>
      <c r="B106" s="18"/>
      <c r="C106" s="62"/>
      <c r="D106" s="66"/>
      <c r="E106" s="66"/>
      <c r="F106" s="66"/>
      <c r="G106" s="66"/>
      <c r="H106" s="18"/>
      <c r="I106" s="18"/>
      <c r="J106" s="18"/>
      <c r="K106" s="17"/>
      <c r="L106" s="15"/>
      <c r="Q106" s="16" t="s">
        <v>27</v>
      </c>
    </row>
    <row r="107" spans="1:18" ht="36" x14ac:dyDescent="0.25">
      <c r="A107" s="109" t="str">
        <f>A95</f>
        <v>% of Median
Unit Priced at</v>
      </c>
      <c r="B107" s="110" t="s">
        <v>34</v>
      </c>
      <c r="C107" s="109" t="s">
        <v>109</v>
      </c>
      <c r="D107" s="109" t="s">
        <v>105</v>
      </c>
      <c r="E107" s="109" t="s">
        <v>106</v>
      </c>
      <c r="F107" s="110" t="s">
        <v>21</v>
      </c>
      <c r="G107" s="109" t="s">
        <v>107</v>
      </c>
      <c r="H107" s="109" t="s">
        <v>108</v>
      </c>
      <c r="I107" s="66"/>
      <c r="J107" s="66"/>
      <c r="K107" s="17"/>
      <c r="L107" s="15"/>
      <c r="Q107" s="16" t="s">
        <v>27</v>
      </c>
    </row>
    <row r="108" spans="1:18" ht="18" x14ac:dyDescent="0.25">
      <c r="A108" s="18"/>
      <c r="B108" s="111"/>
      <c r="C108" s="111"/>
      <c r="D108" s="111"/>
      <c r="E108" s="111"/>
      <c r="F108" s="111"/>
      <c r="G108" s="111"/>
      <c r="H108" s="111"/>
      <c r="I108" s="111"/>
      <c r="J108" s="111"/>
      <c r="K108" s="17"/>
      <c r="L108" s="15"/>
    </row>
    <row r="109" spans="1:18" ht="18" x14ac:dyDescent="0.25">
      <c r="A109" s="68">
        <f>$H$37</f>
        <v>0</v>
      </c>
      <c r="B109" s="111" t="e">
        <f>(0.28*E$159/12)</f>
        <v>#N/A</v>
      </c>
      <c r="C109" s="111" t="e">
        <f>IF(B109=0,0,($C$23))</f>
        <v>#N/A</v>
      </c>
      <c r="D109" s="111" t="e">
        <f>IF(B109=0,0,$C$26)</f>
        <v>#N/A</v>
      </c>
      <c r="E109" s="111">
        <f>(((D54)*(C$25))/100)*((C$24)/12)</f>
        <v>0</v>
      </c>
      <c r="F109" s="111">
        <f>((D54*0.95)/1000)*((C$29)/12)</f>
        <v>0</v>
      </c>
      <c r="G109" s="111" t="e">
        <f>(B109)-C109-D109-E109-F109</f>
        <v>#N/A</v>
      </c>
      <c r="H109" s="111" t="e">
        <f>PV($C$22/12,$C$27*12,-G109)</f>
        <v>#N/A</v>
      </c>
      <c r="I109" s="111"/>
      <c r="J109" s="111"/>
      <c r="K109" s="17"/>
      <c r="L109" s="15"/>
    </row>
    <row r="110" spans="1:18" ht="18" x14ac:dyDescent="0.25">
      <c r="A110" s="68">
        <f>$H$38</f>
        <v>0</v>
      </c>
      <c r="B110" s="111" t="e">
        <f>(0.28*$E$160)/12</f>
        <v>#N/A</v>
      </c>
      <c r="C110" s="111" t="e">
        <f>IF(B110=0,0,($C$23))</f>
        <v>#N/A</v>
      </c>
      <c r="D110" s="111" t="e">
        <f>IF(B110=0,0,$C$26)</f>
        <v>#N/A</v>
      </c>
      <c r="E110" s="111">
        <f>(((D55)*(C$25))/100)*((C$24)/12)</f>
        <v>0</v>
      </c>
      <c r="F110" s="111">
        <f>((D55*0.95)/1000)*((C$29)/12)</f>
        <v>0</v>
      </c>
      <c r="G110" s="111" t="e">
        <f>(B110)-C110-D110-E110-F110</f>
        <v>#N/A</v>
      </c>
      <c r="H110" s="111" t="e">
        <f>PV($C$22/12,$C$27*12,-G110)</f>
        <v>#N/A</v>
      </c>
      <c r="I110" s="111"/>
      <c r="J110" s="111"/>
      <c r="K110" s="17"/>
      <c r="L110" s="15"/>
    </row>
    <row r="111" spans="1:18" ht="18" x14ac:dyDescent="0.25">
      <c r="A111" s="18"/>
      <c r="B111" s="111"/>
      <c r="C111" s="111"/>
      <c r="D111" s="111"/>
      <c r="E111" s="111"/>
      <c r="F111" s="111"/>
      <c r="G111" s="111"/>
      <c r="H111" s="111"/>
      <c r="I111" s="111"/>
      <c r="J111" s="111"/>
      <c r="K111" s="17"/>
      <c r="L111" s="15"/>
    </row>
    <row r="112" spans="1:18" ht="18" x14ac:dyDescent="0.25">
      <c r="A112" s="68">
        <f>$H$40</f>
        <v>0</v>
      </c>
      <c r="B112" s="111" t="e">
        <f>(0.28*$E$162)/12</f>
        <v>#N/A</v>
      </c>
      <c r="C112" s="111" t="e">
        <f>IF(B112=0,0,($C$23))</f>
        <v>#N/A</v>
      </c>
      <c r="D112" s="111" t="e">
        <f>IF(B112=0,0,$C$26)</f>
        <v>#N/A</v>
      </c>
      <c r="E112" s="111">
        <f>(((D57)*(C$25))/100)*((C$24)/12)</f>
        <v>0</v>
      </c>
      <c r="F112" s="111">
        <f>((D57*0.95)/1000)*((C$29)/12)</f>
        <v>0</v>
      </c>
      <c r="G112" s="111" t="e">
        <f>(B112)-C112-D112-E112-F112</f>
        <v>#N/A</v>
      </c>
      <c r="H112" s="111" t="e">
        <f>PV($C$22/12,$C$27*12,-G112)</f>
        <v>#N/A</v>
      </c>
      <c r="I112" s="111"/>
      <c r="J112" s="111"/>
      <c r="K112" s="17"/>
      <c r="L112" s="15"/>
    </row>
    <row r="113" spans="1:12" ht="18" x14ac:dyDescent="0.25">
      <c r="A113" s="68">
        <f>$H$41</f>
        <v>0</v>
      </c>
      <c r="B113" s="111" t="e">
        <f>(0.28*$E$163)/12</f>
        <v>#N/A</v>
      </c>
      <c r="C113" s="111" t="e">
        <f>IF(B113=0,0,($C$23))</f>
        <v>#N/A</v>
      </c>
      <c r="D113" s="111" t="e">
        <f>IF(B113=0,0,$C$26)</f>
        <v>#N/A</v>
      </c>
      <c r="E113" s="111">
        <f>(((D58)*(C$25))/100)*((C$24)/12)</f>
        <v>0</v>
      </c>
      <c r="F113" s="111">
        <f>((D58*0.95)/1000)*((C$29)/12)</f>
        <v>0</v>
      </c>
      <c r="G113" s="111" t="e">
        <f>(B113)-C113-D113-E113-F113</f>
        <v>#N/A</v>
      </c>
      <c r="H113" s="111" t="e">
        <f>PV($C$22/12,$C$27*12,-G113)</f>
        <v>#N/A</v>
      </c>
      <c r="I113" s="111"/>
      <c r="J113" s="111"/>
      <c r="K113" s="17"/>
      <c r="L113" s="15"/>
    </row>
    <row r="114" spans="1:12" ht="18" x14ac:dyDescent="0.25">
      <c r="A114" s="68">
        <f>$H$42</f>
        <v>0</v>
      </c>
      <c r="B114" s="111" t="e">
        <f>(0.28*$E$164)/12</f>
        <v>#N/A</v>
      </c>
      <c r="C114" s="111" t="e">
        <f>IF(B114=0,0,($C$23))</f>
        <v>#N/A</v>
      </c>
      <c r="D114" s="111" t="e">
        <f>IF(B114=0,0,$C$26)</f>
        <v>#N/A</v>
      </c>
      <c r="E114" s="111">
        <f>(((D59)*(C$25))/100)*((C$24)/12)</f>
        <v>0</v>
      </c>
      <c r="F114" s="111">
        <f>((D59*0.95)/1000)*((C$29)/12)</f>
        <v>0</v>
      </c>
      <c r="G114" s="111" t="e">
        <f>(B114)-C114-D114-E114-F114</f>
        <v>#N/A</v>
      </c>
      <c r="H114" s="111" t="e">
        <f>PV($C$22/12,$C$27*12,-G114)</f>
        <v>#N/A</v>
      </c>
      <c r="I114" s="111"/>
      <c r="J114" s="111"/>
      <c r="K114" s="17"/>
      <c r="L114" s="15"/>
    </row>
    <row r="115" spans="1:12" ht="18" x14ac:dyDescent="0.25">
      <c r="A115" s="78" t="s">
        <v>101</v>
      </c>
      <c r="B115" s="112" t="e">
        <f>(0.28*$E$165)/12</f>
        <v>#N/A</v>
      </c>
      <c r="C115" s="112" t="e">
        <f>IF(B115=0,0,($C$23))</f>
        <v>#N/A</v>
      </c>
      <c r="D115" s="112" t="e">
        <f>IF(B115=0,0,$C$26)</f>
        <v>#N/A</v>
      </c>
      <c r="E115" s="112" t="e">
        <f ca="1">(((D60)*(C$25))/100)*((C$24)/12)</f>
        <v>#N/A</v>
      </c>
      <c r="F115" s="112" t="e">
        <f ca="1">((D60*0.95)/1000)*((C$29)/12)</f>
        <v>#N/A</v>
      </c>
      <c r="G115" s="112" t="e">
        <f ca="1">(B115)-C115-D115-E115-F115</f>
        <v>#N/A</v>
      </c>
      <c r="H115" s="112" t="e">
        <f ca="1">PV($C$22/12,$C$27*12,-G115)</f>
        <v>#N/A</v>
      </c>
      <c r="I115" s="111"/>
      <c r="J115" s="111"/>
      <c r="K115" s="17"/>
      <c r="L115" s="15"/>
    </row>
    <row r="116" spans="1:12" ht="18" x14ac:dyDescent="0.25">
      <c r="A116" s="18"/>
      <c r="B116" s="111"/>
      <c r="C116" s="111"/>
      <c r="D116" s="111"/>
      <c r="E116" s="111"/>
      <c r="F116" s="111"/>
      <c r="G116" s="111"/>
      <c r="H116" s="111"/>
      <c r="I116" s="111"/>
      <c r="J116" s="111"/>
      <c r="K116" s="17"/>
      <c r="L116" s="15"/>
    </row>
    <row r="117" spans="1:12" ht="18" x14ac:dyDescent="0.2">
      <c r="A117" s="198" t="s">
        <v>117</v>
      </c>
      <c r="B117" s="198"/>
      <c r="C117" s="198"/>
      <c r="D117" s="198"/>
      <c r="E117" s="198"/>
      <c r="F117" s="198"/>
      <c r="G117" s="198"/>
      <c r="H117" s="198"/>
      <c r="I117" s="107"/>
      <c r="J117" s="107"/>
      <c r="K117" s="107"/>
      <c r="L117" s="15"/>
    </row>
    <row r="118" spans="1:12" ht="18" x14ac:dyDescent="0.25">
      <c r="A118" s="18"/>
      <c r="B118" s="18"/>
      <c r="C118" s="113"/>
      <c r="D118" s="23"/>
      <c r="E118" s="114"/>
      <c r="F118" s="114"/>
      <c r="G118" s="114"/>
      <c r="H118" s="18"/>
      <c r="I118" s="18"/>
      <c r="J118" s="18"/>
      <c r="K118" s="17"/>
      <c r="L118" s="15"/>
    </row>
    <row r="119" spans="1:12" ht="36" x14ac:dyDescent="0.25">
      <c r="A119" s="109" t="str">
        <f>A107</f>
        <v>% of Median
Unit Priced at</v>
      </c>
      <c r="B119" s="110" t="s">
        <v>34</v>
      </c>
      <c r="C119" s="109" t="s">
        <v>109</v>
      </c>
      <c r="D119" s="109" t="s">
        <v>105</v>
      </c>
      <c r="E119" s="109" t="s">
        <v>106</v>
      </c>
      <c r="F119" s="110" t="s">
        <v>21</v>
      </c>
      <c r="G119" s="109" t="s">
        <v>107</v>
      </c>
      <c r="H119" s="109" t="s">
        <v>108</v>
      </c>
      <c r="I119" s="66"/>
      <c r="J119" s="66"/>
      <c r="K119" s="17"/>
      <c r="L119" s="15"/>
    </row>
    <row r="120" spans="1:12" ht="18" x14ac:dyDescent="0.25">
      <c r="A120" s="18"/>
      <c r="B120" s="111"/>
      <c r="C120" s="111"/>
      <c r="D120" s="111"/>
      <c r="E120" s="111"/>
      <c r="F120" s="111"/>
      <c r="G120" s="111"/>
      <c r="H120" s="111"/>
      <c r="I120" s="111"/>
      <c r="J120" s="111"/>
      <c r="K120" s="17"/>
      <c r="L120" s="15"/>
    </row>
    <row r="121" spans="1:12" ht="18" x14ac:dyDescent="0.25">
      <c r="A121" s="68">
        <f>$H$37</f>
        <v>0</v>
      </c>
      <c r="B121" s="111" t="e">
        <f>(0.28)*((($F$159)+($G$159))/2)/12</f>
        <v>#N/A</v>
      </c>
      <c r="C121" s="111" t="e">
        <f>IF(B121=0,0,($C$23))</f>
        <v>#N/A</v>
      </c>
      <c r="D121" s="111" t="e">
        <f>IF(B121=0,0,$C$26)</f>
        <v>#N/A</v>
      </c>
      <c r="E121" s="111">
        <f>(((F54)*(C$25))/100)*((C$24)/12)</f>
        <v>0</v>
      </c>
      <c r="F121" s="111">
        <f>((F54*0.95)/1000)*((C$29)/12)</f>
        <v>0</v>
      </c>
      <c r="G121" s="111" t="e">
        <f>(B121)-C121-D121-E121-F121</f>
        <v>#N/A</v>
      </c>
      <c r="H121" s="111" t="e">
        <f>PV($C$22/12,$C$27*12,-G121)</f>
        <v>#N/A</v>
      </c>
      <c r="I121" s="111"/>
      <c r="J121" s="111"/>
      <c r="K121" s="17"/>
      <c r="L121" s="15"/>
    </row>
    <row r="122" spans="1:12" ht="18" x14ac:dyDescent="0.25">
      <c r="A122" s="68">
        <f>$H$38</f>
        <v>0</v>
      </c>
      <c r="B122" s="111" t="e">
        <f>(0.28)*((($F$160)+($G$160))/2)/12</f>
        <v>#N/A</v>
      </c>
      <c r="C122" s="111" t="e">
        <f>IF(B122=0,0,($C$23))</f>
        <v>#N/A</v>
      </c>
      <c r="D122" s="111" t="e">
        <f>IF(B122=0,0,$C$26)</f>
        <v>#N/A</v>
      </c>
      <c r="E122" s="111">
        <f>(((F55)*(C$25))/100)*((C$24)/12)</f>
        <v>0</v>
      </c>
      <c r="F122" s="111">
        <f>((F55*0.95)/1000)*((C$29)/12)</f>
        <v>0</v>
      </c>
      <c r="G122" s="111" t="e">
        <f>(B122)-C122-D122-E122-F122</f>
        <v>#N/A</v>
      </c>
      <c r="H122" s="111" t="e">
        <f>PV($C$22/12,$C$27*12,-G122)</f>
        <v>#N/A</v>
      </c>
      <c r="I122" s="111"/>
      <c r="J122" s="111"/>
      <c r="K122" s="17"/>
      <c r="L122" s="15"/>
    </row>
    <row r="123" spans="1:12" ht="18" x14ac:dyDescent="0.25">
      <c r="A123" s="18"/>
      <c r="B123" s="111"/>
      <c r="C123" s="111"/>
      <c r="D123" s="111"/>
      <c r="E123" s="111"/>
      <c r="F123" s="111"/>
      <c r="G123" s="111"/>
      <c r="H123" s="111"/>
      <c r="I123" s="111"/>
      <c r="J123" s="111"/>
      <c r="K123" s="17"/>
      <c r="L123" s="15"/>
    </row>
    <row r="124" spans="1:12" ht="18" x14ac:dyDescent="0.25">
      <c r="A124" s="68">
        <f>$H$40</f>
        <v>0</v>
      </c>
      <c r="B124" s="111" t="e">
        <f>(0.28)*((($F$162)+($G$162))/2)/12</f>
        <v>#N/A</v>
      </c>
      <c r="C124" s="111" t="e">
        <f>IF(B124=0,0,($C$23))</f>
        <v>#N/A</v>
      </c>
      <c r="D124" s="111" t="e">
        <f>IF(B124=0,0,$C$26)</f>
        <v>#N/A</v>
      </c>
      <c r="E124" s="111">
        <f>(((F57)*(C$25))/100)*((C$24)/12)</f>
        <v>0</v>
      </c>
      <c r="F124" s="111">
        <f>((F57*0.95)/1000)*((C$29)/12)</f>
        <v>0</v>
      </c>
      <c r="G124" s="111" t="e">
        <f>(B124)-C124-D124-E124-F124</f>
        <v>#N/A</v>
      </c>
      <c r="H124" s="111" t="e">
        <f>PV($C$22/12,$C$27*12,-G124)</f>
        <v>#N/A</v>
      </c>
      <c r="I124" s="111"/>
      <c r="J124" s="111"/>
      <c r="K124" s="17"/>
      <c r="L124" s="15"/>
    </row>
    <row r="125" spans="1:12" ht="18" x14ac:dyDescent="0.25">
      <c r="A125" s="68">
        <f>$H$41</f>
        <v>0</v>
      </c>
      <c r="B125" s="111" t="e">
        <f>(0.28)*((($F$163)+($G$163))/2)/12</f>
        <v>#N/A</v>
      </c>
      <c r="C125" s="111" t="e">
        <f>IF(B125=0,0,($C$23))</f>
        <v>#N/A</v>
      </c>
      <c r="D125" s="111" t="e">
        <f>IF(B125=0,0,$C$26)</f>
        <v>#N/A</v>
      </c>
      <c r="E125" s="111">
        <f>(((F58)*(C$25))/100)*((C$24)/12)</f>
        <v>0</v>
      </c>
      <c r="F125" s="111">
        <f>((F58*0.95)/1000)*((C$29)/12)</f>
        <v>0</v>
      </c>
      <c r="G125" s="111" t="e">
        <f>(B125)-C125-D125-E125-F125</f>
        <v>#N/A</v>
      </c>
      <c r="H125" s="111" t="e">
        <f>PV($C$22/12,$C$27*12,-G125)</f>
        <v>#N/A</v>
      </c>
      <c r="I125" s="111"/>
      <c r="J125" s="111"/>
      <c r="K125" s="17"/>
      <c r="L125" s="15"/>
    </row>
    <row r="126" spans="1:12" ht="18" x14ac:dyDescent="0.25">
      <c r="A126" s="68">
        <f>$H$42</f>
        <v>0</v>
      </c>
      <c r="B126" s="111" t="e">
        <f>(0.28)*((($F$164)+($G$164))/2)/12</f>
        <v>#N/A</v>
      </c>
      <c r="C126" s="111" t="e">
        <f>IF(B126=0,0,($C$23))</f>
        <v>#N/A</v>
      </c>
      <c r="D126" s="111" t="e">
        <f>IF(B126=0,0,$C$26)</f>
        <v>#N/A</v>
      </c>
      <c r="E126" s="111">
        <f>(((F59)*(C$25))/100)*((C$24)/12)</f>
        <v>0</v>
      </c>
      <c r="F126" s="111">
        <f>((F59*0.95)/1000)*((C$29)/12)</f>
        <v>0</v>
      </c>
      <c r="G126" s="111" t="e">
        <f>(B126)-C126-D126-E126-F126</f>
        <v>#N/A</v>
      </c>
      <c r="H126" s="111" t="e">
        <f>PV($C$22/12,$C$27*12,-G126)</f>
        <v>#N/A</v>
      </c>
      <c r="I126" s="111"/>
      <c r="J126" s="111"/>
      <c r="K126" s="17"/>
      <c r="L126" s="15"/>
    </row>
    <row r="127" spans="1:12" ht="18" x14ac:dyDescent="0.25">
      <c r="A127" s="115" t="s">
        <v>101</v>
      </c>
      <c r="B127" s="112" t="e">
        <f>(0.28)*((($F$165)+($G$165))/2)/12</f>
        <v>#N/A</v>
      </c>
      <c r="C127" s="112" t="e">
        <f>IF(B127=0,0,($C$23))</f>
        <v>#N/A</v>
      </c>
      <c r="D127" s="112" t="e">
        <f>IF(B127=0,0,$C$26)</f>
        <v>#N/A</v>
      </c>
      <c r="E127" s="112" t="e">
        <f ca="1">(((F60)*(C$25))/100)*((C$24)/12)</f>
        <v>#N/A</v>
      </c>
      <c r="F127" s="112" t="e">
        <f ca="1">((F60*0.95)/1000)*((C$29)/12)</f>
        <v>#N/A</v>
      </c>
      <c r="G127" s="112" t="e">
        <f ca="1">(B127)-C127-D127-E127-F127</f>
        <v>#N/A</v>
      </c>
      <c r="H127" s="112" t="e">
        <f ca="1">PV($C$22/12,$C$27*12,-G127)</f>
        <v>#N/A</v>
      </c>
      <c r="I127" s="17"/>
      <c r="J127" s="17"/>
      <c r="K127" s="17"/>
      <c r="L127" s="15"/>
    </row>
    <row r="128" spans="1:12" x14ac:dyDescent="0.2">
      <c r="A128" s="17"/>
      <c r="B128" s="17"/>
      <c r="C128" s="17"/>
      <c r="D128" s="17"/>
      <c r="E128" s="17"/>
      <c r="F128" s="17"/>
      <c r="G128" s="17"/>
      <c r="H128" s="17"/>
      <c r="I128" s="17"/>
      <c r="J128" s="17"/>
      <c r="K128" s="17"/>
      <c r="L128" s="15"/>
    </row>
    <row r="129" spans="1:12" ht="18" x14ac:dyDescent="0.2">
      <c r="A129" s="198" t="s">
        <v>118</v>
      </c>
      <c r="B129" s="198"/>
      <c r="C129" s="198"/>
      <c r="D129" s="198"/>
      <c r="E129" s="198"/>
      <c r="F129" s="198"/>
      <c r="G129" s="198"/>
      <c r="H129" s="198"/>
      <c r="I129" s="107"/>
      <c r="J129" s="107"/>
      <c r="K129" s="107"/>
      <c r="L129" s="15"/>
    </row>
    <row r="130" spans="1:12" ht="18" x14ac:dyDescent="0.25">
      <c r="A130" s="18"/>
      <c r="B130" s="18"/>
      <c r="C130" s="113"/>
      <c r="D130" s="23"/>
      <c r="E130" s="114"/>
      <c r="F130" s="114"/>
      <c r="G130" s="114"/>
      <c r="H130" s="18"/>
      <c r="I130" s="18"/>
      <c r="J130" s="18"/>
      <c r="K130" s="17"/>
      <c r="L130" s="15"/>
    </row>
    <row r="131" spans="1:12" ht="36" x14ac:dyDescent="0.25">
      <c r="A131" s="109" t="str">
        <f>A119</f>
        <v>% of Median
Unit Priced at</v>
      </c>
      <c r="B131" s="110" t="s">
        <v>34</v>
      </c>
      <c r="C131" s="109" t="s">
        <v>109</v>
      </c>
      <c r="D131" s="109" t="s">
        <v>105</v>
      </c>
      <c r="E131" s="109" t="s">
        <v>106</v>
      </c>
      <c r="F131" s="110" t="s">
        <v>21</v>
      </c>
      <c r="G131" s="109" t="s">
        <v>107</v>
      </c>
      <c r="H131" s="109" t="s">
        <v>108</v>
      </c>
      <c r="I131" s="66"/>
      <c r="J131" s="66"/>
      <c r="K131" s="17"/>
      <c r="L131" s="15"/>
    </row>
    <row r="132" spans="1:12" ht="18" x14ac:dyDescent="0.25">
      <c r="A132" s="18"/>
      <c r="B132" s="111"/>
      <c r="C132" s="111"/>
      <c r="D132" s="111"/>
      <c r="E132" s="111"/>
      <c r="F132" s="111"/>
      <c r="G132" s="111"/>
      <c r="H132" s="111"/>
      <c r="I132" s="111"/>
      <c r="J132" s="111"/>
      <c r="K132" s="17"/>
      <c r="L132" s="15"/>
    </row>
    <row r="133" spans="1:12" ht="18" x14ac:dyDescent="0.25">
      <c r="A133" s="68">
        <f>$H$37</f>
        <v>0</v>
      </c>
      <c r="B133" s="111" t="e">
        <f>(0.28)*($H$159/12)</f>
        <v>#N/A</v>
      </c>
      <c r="C133" s="111" t="e">
        <f>IF(B133=0,0,($C$23))</f>
        <v>#N/A</v>
      </c>
      <c r="D133" s="111" t="e">
        <f>IF(B133=0,0,$C$26)</f>
        <v>#N/A</v>
      </c>
      <c r="E133" s="111">
        <f>(((H54)*(C$25))/100)*((C$24)/12)</f>
        <v>0</v>
      </c>
      <c r="F133" s="111">
        <f>((H54*0.95)/1000)*((C$29)/12)</f>
        <v>0</v>
      </c>
      <c r="G133" s="111" t="e">
        <f>(B133)-C133-D133-E133-F133</f>
        <v>#N/A</v>
      </c>
      <c r="H133" s="111" t="e">
        <f>PV($C$22/12,$C$27*12,-G133)</f>
        <v>#N/A</v>
      </c>
      <c r="I133" s="111"/>
      <c r="J133" s="111"/>
      <c r="K133" s="17"/>
      <c r="L133" s="15"/>
    </row>
    <row r="134" spans="1:12" ht="18" x14ac:dyDescent="0.25">
      <c r="A134" s="68">
        <f>$H$38</f>
        <v>0</v>
      </c>
      <c r="B134" s="111" t="e">
        <f>(0.28)*($H$160/12)</f>
        <v>#N/A</v>
      </c>
      <c r="C134" s="111" t="e">
        <f>IF(B134=0,0,($C$23))</f>
        <v>#N/A</v>
      </c>
      <c r="D134" s="111" t="e">
        <f>IF(B134=0,0,$C$26)</f>
        <v>#N/A</v>
      </c>
      <c r="E134" s="111">
        <f>(((H55)*(C$25))/100)*((C$24)/12)</f>
        <v>0</v>
      </c>
      <c r="F134" s="111">
        <f>((H55*0.95)/1000)*((C$29)/12)</f>
        <v>0</v>
      </c>
      <c r="G134" s="111" t="e">
        <f>(B134)-C134-D134-E134-F134</f>
        <v>#N/A</v>
      </c>
      <c r="H134" s="111" t="e">
        <f>PV($C$22/12,$C$27*12,-G134)</f>
        <v>#N/A</v>
      </c>
      <c r="I134" s="111"/>
      <c r="J134" s="111"/>
      <c r="K134" s="17"/>
      <c r="L134" s="15"/>
    </row>
    <row r="135" spans="1:12" ht="18" x14ac:dyDescent="0.25">
      <c r="A135" s="18"/>
      <c r="B135" s="111"/>
      <c r="C135" s="111"/>
      <c r="D135" s="111"/>
      <c r="E135" s="111"/>
      <c r="F135" s="111"/>
      <c r="G135" s="111"/>
      <c r="H135" s="111"/>
      <c r="I135" s="111"/>
      <c r="J135" s="111"/>
      <c r="K135" s="17"/>
      <c r="L135" s="15"/>
    </row>
    <row r="136" spans="1:12" ht="18" x14ac:dyDescent="0.25">
      <c r="A136" s="68">
        <f>$H$40</f>
        <v>0</v>
      </c>
      <c r="B136" s="111" t="e">
        <f>(0.28)*($H$162/12)</f>
        <v>#N/A</v>
      </c>
      <c r="C136" s="111" t="e">
        <f>IF(B136=0,0,($C$23))</f>
        <v>#N/A</v>
      </c>
      <c r="D136" s="111" t="e">
        <f>IF(B136=0,0,$C$26)</f>
        <v>#N/A</v>
      </c>
      <c r="E136" s="111">
        <f>(((H57)*(C$25))/100)*((C$24)/12)</f>
        <v>0</v>
      </c>
      <c r="F136" s="111">
        <f>((H57*0.95)/1000)*((C$29)/12)</f>
        <v>0</v>
      </c>
      <c r="G136" s="111" t="e">
        <f>(B136)-C136-D136-E136-F136</f>
        <v>#N/A</v>
      </c>
      <c r="H136" s="111" t="e">
        <f>PV($C$22/12,$C$27*12,-G136)</f>
        <v>#N/A</v>
      </c>
      <c r="I136" s="111"/>
      <c r="J136" s="111"/>
      <c r="K136" s="17"/>
      <c r="L136" s="15"/>
    </row>
    <row r="137" spans="1:12" ht="18" x14ac:dyDescent="0.25">
      <c r="A137" s="68">
        <f>$H$41</f>
        <v>0</v>
      </c>
      <c r="B137" s="111" t="e">
        <f>(0.28)*($H$163/12)</f>
        <v>#N/A</v>
      </c>
      <c r="C137" s="111" t="e">
        <f>IF(B137=0,0,($C$23))</f>
        <v>#N/A</v>
      </c>
      <c r="D137" s="111" t="e">
        <f>IF(B137=0,0,$C$26)</f>
        <v>#N/A</v>
      </c>
      <c r="E137" s="111">
        <f>(((H58)*(C$25))/100)*((C$24)/12)</f>
        <v>0</v>
      </c>
      <c r="F137" s="111">
        <f>((H58*0.95)/1000)*((C$29)/12)</f>
        <v>0</v>
      </c>
      <c r="G137" s="111" t="e">
        <f>(B137)-C137-D137-E137-F137</f>
        <v>#N/A</v>
      </c>
      <c r="H137" s="111" t="e">
        <f>PV($C$22/12,$C$27*12,-G137)</f>
        <v>#N/A</v>
      </c>
      <c r="I137" s="111"/>
      <c r="J137" s="111"/>
      <c r="K137" s="17"/>
      <c r="L137" s="15"/>
    </row>
    <row r="138" spans="1:12" ht="18" x14ac:dyDescent="0.25">
      <c r="A138" s="68">
        <f>$H$42</f>
        <v>0</v>
      </c>
      <c r="B138" s="111" t="e">
        <f>(0.28)*($H$164/12)</f>
        <v>#N/A</v>
      </c>
      <c r="C138" s="111" t="e">
        <f>IF(B138=0,0,($C$23))</f>
        <v>#N/A</v>
      </c>
      <c r="D138" s="111" t="e">
        <f>IF(B138=0,0,$C$26)</f>
        <v>#N/A</v>
      </c>
      <c r="E138" s="111">
        <f>(((H59)*(C$25))/100)*((C$24)/12)</f>
        <v>0</v>
      </c>
      <c r="F138" s="111">
        <f>((H59*0.95)/1000)*((C$29)/12)</f>
        <v>0</v>
      </c>
      <c r="G138" s="111" t="e">
        <f>(B138)-C138-D138-E138-F138</f>
        <v>#N/A</v>
      </c>
      <c r="H138" s="111" t="e">
        <f>PV($C$22/12,$C$27*12,-G138)</f>
        <v>#N/A</v>
      </c>
      <c r="I138" s="111"/>
      <c r="J138" s="111"/>
      <c r="K138" s="17"/>
      <c r="L138" s="15"/>
    </row>
    <row r="139" spans="1:12" ht="18" x14ac:dyDescent="0.25">
      <c r="A139" s="115" t="s">
        <v>101</v>
      </c>
      <c r="B139" s="112" t="e">
        <f>(0.28)*($H$165/12)</f>
        <v>#N/A</v>
      </c>
      <c r="C139" s="112" t="e">
        <f>IF(B139=0,0,($C$23))</f>
        <v>#N/A</v>
      </c>
      <c r="D139" s="112" t="e">
        <f>IF(B139=0,0,$C$26)</f>
        <v>#N/A</v>
      </c>
      <c r="E139" s="112" t="e">
        <f ca="1">(((H60)*(C$25))/100)*((C$24)/12)</f>
        <v>#N/A</v>
      </c>
      <c r="F139" s="112" t="e">
        <f ca="1">((H60*0.95)/1000)*((C$29)/12)</f>
        <v>#N/A</v>
      </c>
      <c r="G139" s="112" t="e">
        <f ca="1">(B139)-C139-D139-E139-F139</f>
        <v>#N/A</v>
      </c>
      <c r="H139" s="112" t="e">
        <f ca="1">PV($C$22/12,$C$27*12,-G139)</f>
        <v>#N/A</v>
      </c>
      <c r="I139" s="111"/>
      <c r="J139" s="111"/>
      <c r="K139" s="17"/>
      <c r="L139" s="15"/>
    </row>
    <row r="140" spans="1:12" x14ac:dyDescent="0.2">
      <c r="A140" s="17"/>
      <c r="B140" s="17"/>
      <c r="C140" s="17"/>
      <c r="D140" s="17"/>
      <c r="E140" s="17"/>
      <c r="F140" s="17"/>
      <c r="G140" s="17"/>
      <c r="H140" s="17"/>
      <c r="I140" s="116"/>
      <c r="J140" s="116"/>
      <c r="K140" s="116"/>
      <c r="L140" s="15"/>
    </row>
    <row r="141" spans="1:12" ht="20.25" x14ac:dyDescent="0.3">
      <c r="A141" s="186" t="s">
        <v>29</v>
      </c>
      <c r="B141" s="186"/>
      <c r="C141" s="186"/>
      <c r="D141" s="186"/>
      <c r="E141" s="186"/>
      <c r="F141" s="186"/>
      <c r="G141" s="186"/>
      <c r="H141" s="186"/>
      <c r="I141" s="186"/>
      <c r="J141" s="186"/>
      <c r="K141" s="117"/>
      <c r="L141" s="15"/>
    </row>
    <row r="142" spans="1:12" ht="18" x14ac:dyDescent="0.25">
      <c r="A142" s="212" t="str">
        <f>C15</f>
        <v>2014 COAH Regional Income Limits</v>
      </c>
      <c r="B142" s="199"/>
      <c r="C142" s="199"/>
      <c r="D142" s="199"/>
      <c r="E142" s="199"/>
      <c r="F142" s="199"/>
      <c r="G142" s="199"/>
      <c r="H142" s="199"/>
      <c r="I142" s="199"/>
      <c r="J142" s="199"/>
      <c r="K142" s="18"/>
      <c r="L142" s="15"/>
    </row>
    <row r="143" spans="1:12" ht="18" x14ac:dyDescent="0.25">
      <c r="A143" s="18"/>
      <c r="B143" s="18"/>
      <c r="C143" s="18"/>
      <c r="D143" s="18"/>
      <c r="E143" s="18"/>
      <c r="F143" s="18"/>
      <c r="G143" s="18"/>
      <c r="H143" s="18"/>
      <c r="I143" s="18"/>
      <c r="J143" s="18"/>
      <c r="K143" s="18"/>
      <c r="L143" s="15"/>
    </row>
    <row r="144" spans="1:12" ht="18" x14ac:dyDescent="0.25">
      <c r="A144" s="211" t="s">
        <v>37</v>
      </c>
      <c r="B144" s="211"/>
      <c r="C144" s="66" t="s">
        <v>30</v>
      </c>
      <c r="D144" s="66" t="s">
        <v>14</v>
      </c>
      <c r="E144" s="66" t="s">
        <v>15</v>
      </c>
      <c r="F144" s="66" t="s">
        <v>16</v>
      </c>
      <c r="G144" s="66" t="s">
        <v>17</v>
      </c>
      <c r="H144" s="66" t="s">
        <v>18</v>
      </c>
      <c r="I144" s="66" t="s">
        <v>31</v>
      </c>
      <c r="J144" s="66">
        <v>8</v>
      </c>
      <c r="K144" s="17"/>
      <c r="L144" s="15"/>
    </row>
    <row r="145" spans="1:12" ht="18" x14ac:dyDescent="0.25">
      <c r="A145" s="211" t="s">
        <v>38</v>
      </c>
      <c r="B145" s="211"/>
      <c r="C145" s="118" t="e">
        <f>LOOKUP($C$17,'Income Limits'!$A$7:$A$12,'Income Limits'!C$7:C$12)</f>
        <v>#N/A</v>
      </c>
      <c r="D145" s="118" t="e">
        <f>LOOKUP($C$17,'Income Limits'!$A$7:$A$12,'Income Limits'!D$7:D$12)</f>
        <v>#N/A</v>
      </c>
      <c r="E145" s="118" t="e">
        <f>LOOKUP($C$17,'Income Limits'!$A$7:$A$12,'Income Limits'!E$7:E$12)</f>
        <v>#N/A</v>
      </c>
      <c r="F145" s="118" t="e">
        <f>LOOKUP($C$17,'Income Limits'!$A$7:$A$12,'Income Limits'!F$7:F$12)</f>
        <v>#N/A</v>
      </c>
      <c r="G145" s="118" t="e">
        <f>LOOKUP($C$17,'Income Limits'!$A$7:$A$12,'Income Limits'!G$7:G$12)</f>
        <v>#N/A</v>
      </c>
      <c r="H145" s="118" t="e">
        <f>LOOKUP($C$17,'Income Limits'!$A$7:$A$12,'Income Limits'!H$7:H$12)</f>
        <v>#N/A</v>
      </c>
      <c r="I145" s="118" t="e">
        <f>LOOKUP($C$17,'Income Limits'!$A$7:$A$12,'Income Limits'!I$7:I$12)</f>
        <v>#N/A</v>
      </c>
      <c r="J145" s="118" t="e">
        <f>LOOKUP($C$17,'Income Limits'!$A$7:$A$12,'Income Limits'!J$7:J$12)</f>
        <v>#N/A</v>
      </c>
      <c r="K145" s="17"/>
      <c r="L145" s="15"/>
    </row>
    <row r="146" spans="1:12" ht="18" x14ac:dyDescent="0.25">
      <c r="A146" s="18"/>
      <c r="B146" s="18"/>
      <c r="C146" s="18"/>
      <c r="D146" s="18"/>
      <c r="E146" s="18"/>
      <c r="F146" s="18"/>
      <c r="G146" s="18"/>
      <c r="H146" s="18"/>
      <c r="I146" s="18"/>
      <c r="J146" s="18"/>
      <c r="K146" s="17"/>
      <c r="L146" s="15"/>
    </row>
    <row r="147" spans="1:12" ht="18" x14ac:dyDescent="0.25">
      <c r="A147" s="18" t="s">
        <v>13</v>
      </c>
      <c r="B147" s="66" t="s">
        <v>36</v>
      </c>
      <c r="C147" s="18"/>
      <c r="D147" s="18"/>
      <c r="E147" s="18"/>
      <c r="F147" s="18"/>
      <c r="G147" s="18"/>
      <c r="H147" s="18"/>
      <c r="I147" s="18"/>
      <c r="J147" s="18"/>
      <c r="K147" s="17"/>
      <c r="L147" s="15"/>
    </row>
    <row r="148" spans="1:12" ht="18" x14ac:dyDescent="0.25">
      <c r="A148" s="18"/>
      <c r="B148" s="18"/>
      <c r="C148" s="18"/>
      <c r="D148" s="18"/>
      <c r="E148" s="18"/>
      <c r="F148" s="18"/>
      <c r="G148" s="18"/>
      <c r="H148" s="18"/>
      <c r="I148" s="18"/>
      <c r="J148" s="18"/>
      <c r="K148" s="17"/>
      <c r="L148" s="15"/>
    </row>
    <row r="149" spans="1:12" ht="18" x14ac:dyDescent="0.25">
      <c r="A149" s="23" t="s">
        <v>101</v>
      </c>
      <c r="B149" s="119">
        <v>1.2</v>
      </c>
      <c r="C149" s="111" t="e">
        <f t="shared" ref="C149:J152" si="0">$B149*C$145</f>
        <v>#N/A</v>
      </c>
      <c r="D149" s="111" t="e">
        <f t="shared" si="0"/>
        <v>#N/A</v>
      </c>
      <c r="E149" s="111" t="e">
        <f t="shared" si="0"/>
        <v>#N/A</v>
      </c>
      <c r="F149" s="111" t="e">
        <f t="shared" si="0"/>
        <v>#N/A</v>
      </c>
      <c r="G149" s="111" t="e">
        <f t="shared" si="0"/>
        <v>#N/A</v>
      </c>
      <c r="H149" s="111" t="e">
        <f t="shared" si="0"/>
        <v>#N/A</v>
      </c>
      <c r="I149" s="111" t="e">
        <f t="shared" si="0"/>
        <v>#N/A</v>
      </c>
      <c r="J149" s="111" t="e">
        <f t="shared" si="0"/>
        <v>#N/A</v>
      </c>
      <c r="K149" s="17"/>
      <c r="L149" s="15"/>
    </row>
    <row r="150" spans="1:12" ht="18" x14ac:dyDescent="0.25">
      <c r="A150" s="23" t="s">
        <v>20</v>
      </c>
      <c r="B150" s="119">
        <v>0.8</v>
      </c>
      <c r="C150" s="111" t="e">
        <f t="shared" si="0"/>
        <v>#N/A</v>
      </c>
      <c r="D150" s="111" t="e">
        <f t="shared" si="0"/>
        <v>#N/A</v>
      </c>
      <c r="E150" s="111" t="e">
        <f t="shared" si="0"/>
        <v>#N/A</v>
      </c>
      <c r="F150" s="111" t="e">
        <f t="shared" si="0"/>
        <v>#N/A</v>
      </c>
      <c r="G150" s="111" t="e">
        <f t="shared" si="0"/>
        <v>#N/A</v>
      </c>
      <c r="H150" s="111" t="e">
        <f t="shared" si="0"/>
        <v>#N/A</v>
      </c>
      <c r="I150" s="111" t="e">
        <f t="shared" si="0"/>
        <v>#N/A</v>
      </c>
      <c r="J150" s="111" t="e">
        <f t="shared" si="0"/>
        <v>#N/A</v>
      </c>
      <c r="K150" s="17"/>
      <c r="L150" s="15"/>
    </row>
    <row r="151" spans="1:12" ht="18" x14ac:dyDescent="0.25">
      <c r="A151" s="23" t="s">
        <v>22</v>
      </c>
      <c r="B151" s="119">
        <v>0.5</v>
      </c>
      <c r="C151" s="111" t="e">
        <f t="shared" si="0"/>
        <v>#N/A</v>
      </c>
      <c r="D151" s="111" t="e">
        <f t="shared" si="0"/>
        <v>#N/A</v>
      </c>
      <c r="E151" s="111" t="e">
        <f t="shared" si="0"/>
        <v>#N/A</v>
      </c>
      <c r="F151" s="111" t="e">
        <f t="shared" si="0"/>
        <v>#N/A</v>
      </c>
      <c r="G151" s="111" t="e">
        <f t="shared" si="0"/>
        <v>#N/A</v>
      </c>
      <c r="H151" s="111" t="e">
        <f t="shared" si="0"/>
        <v>#N/A</v>
      </c>
      <c r="I151" s="111" t="e">
        <f t="shared" si="0"/>
        <v>#N/A</v>
      </c>
      <c r="J151" s="111" t="e">
        <f t="shared" si="0"/>
        <v>#N/A</v>
      </c>
      <c r="K151" s="17"/>
      <c r="L151" s="15"/>
    </row>
    <row r="152" spans="1:12" ht="18" x14ac:dyDescent="0.25">
      <c r="A152" s="23" t="s">
        <v>72</v>
      </c>
      <c r="B152" s="119">
        <v>0.3</v>
      </c>
      <c r="C152" s="111" t="e">
        <f t="shared" si="0"/>
        <v>#N/A</v>
      </c>
      <c r="D152" s="111" t="e">
        <f t="shared" si="0"/>
        <v>#N/A</v>
      </c>
      <c r="E152" s="111" t="e">
        <f t="shared" si="0"/>
        <v>#N/A</v>
      </c>
      <c r="F152" s="111" t="e">
        <f t="shared" si="0"/>
        <v>#N/A</v>
      </c>
      <c r="G152" s="111" t="e">
        <f t="shared" si="0"/>
        <v>#N/A</v>
      </c>
      <c r="H152" s="111" t="e">
        <f t="shared" si="0"/>
        <v>#N/A</v>
      </c>
      <c r="I152" s="111" t="e">
        <f t="shared" si="0"/>
        <v>#N/A</v>
      </c>
      <c r="J152" s="111" t="e">
        <f t="shared" si="0"/>
        <v>#N/A</v>
      </c>
      <c r="K152" s="17"/>
      <c r="L152" s="15"/>
    </row>
    <row r="153" spans="1:12" ht="18" x14ac:dyDescent="0.25">
      <c r="A153" s="23"/>
      <c r="B153" s="119"/>
      <c r="C153" s="111"/>
      <c r="D153" s="111"/>
      <c r="E153" s="111"/>
      <c r="F153" s="111"/>
      <c r="G153" s="111"/>
      <c r="H153" s="111"/>
      <c r="I153" s="111"/>
      <c r="J153" s="111"/>
      <c r="K153" s="17"/>
      <c r="L153" s="15"/>
    </row>
    <row r="154" spans="1:12" ht="30.75" customHeight="1" x14ac:dyDescent="0.2">
      <c r="A154" s="207" t="s">
        <v>119</v>
      </c>
      <c r="B154" s="207"/>
      <c r="C154" s="207"/>
      <c r="D154" s="207"/>
      <c r="E154" s="207"/>
      <c r="F154" s="207"/>
      <c r="G154" s="207"/>
      <c r="H154" s="207"/>
      <c r="I154" s="207"/>
      <c r="J154" s="207"/>
      <c r="K154" s="17"/>
      <c r="L154" s="15"/>
    </row>
    <row r="155" spans="1:12" ht="18" hidden="1" x14ac:dyDescent="0.25">
      <c r="A155" s="120"/>
      <c r="B155" s="120"/>
      <c r="C155" s="120"/>
      <c r="D155" s="120"/>
      <c r="E155" s="120"/>
      <c r="F155" s="120"/>
      <c r="G155" s="120"/>
      <c r="H155" s="120"/>
      <c r="I155" s="111"/>
      <c r="J155" s="111"/>
      <c r="K155" s="17"/>
      <c r="L155" s="15"/>
    </row>
    <row r="156" spans="1:12" ht="18" hidden="1" x14ac:dyDescent="0.25">
      <c r="A156" s="121"/>
      <c r="B156" s="122"/>
      <c r="C156" s="120"/>
      <c r="D156" s="120"/>
      <c r="E156" s="120"/>
      <c r="F156" s="120"/>
      <c r="G156" s="120"/>
      <c r="H156" s="120"/>
      <c r="I156" s="120"/>
      <c r="J156" s="120"/>
      <c r="K156" s="14"/>
    </row>
    <row r="157" spans="1:12" ht="18" hidden="1" x14ac:dyDescent="0.25">
      <c r="A157" s="123"/>
      <c r="B157" s="124"/>
      <c r="C157" s="125"/>
      <c r="D157" s="125"/>
      <c r="E157" s="125"/>
      <c r="F157" s="125"/>
      <c r="G157" s="125"/>
      <c r="H157" s="125"/>
      <c r="I157" s="125"/>
      <c r="J157" s="125"/>
    </row>
    <row r="158" spans="1:12" ht="18" hidden="1" x14ac:dyDescent="0.25">
      <c r="A158" s="126"/>
      <c r="B158" s="124"/>
      <c r="C158" s="125"/>
      <c r="D158" s="125"/>
      <c r="E158" s="125"/>
      <c r="F158" s="125"/>
      <c r="G158" s="125"/>
      <c r="H158" s="125"/>
      <c r="I158" s="125"/>
      <c r="J158" s="125"/>
    </row>
    <row r="159" spans="1:12" ht="18" hidden="1" x14ac:dyDescent="0.25">
      <c r="A159" s="127" t="s">
        <v>25</v>
      </c>
      <c r="B159" s="124">
        <f>H37</f>
        <v>0</v>
      </c>
      <c r="C159" s="125" t="e">
        <f t="shared" ref="C159:J160" si="1">$B159*C$145</f>
        <v>#N/A</v>
      </c>
      <c r="D159" s="125" t="e">
        <f t="shared" si="1"/>
        <v>#N/A</v>
      </c>
      <c r="E159" s="125" t="e">
        <f t="shared" si="1"/>
        <v>#N/A</v>
      </c>
      <c r="F159" s="125" t="e">
        <f t="shared" si="1"/>
        <v>#N/A</v>
      </c>
      <c r="G159" s="125" t="e">
        <f t="shared" si="1"/>
        <v>#N/A</v>
      </c>
      <c r="H159" s="125" t="e">
        <f t="shared" si="1"/>
        <v>#N/A</v>
      </c>
      <c r="I159" s="125" t="e">
        <f t="shared" si="1"/>
        <v>#N/A</v>
      </c>
      <c r="J159" s="125" t="e">
        <f t="shared" si="1"/>
        <v>#N/A</v>
      </c>
    </row>
    <row r="160" spans="1:12" ht="18" hidden="1" x14ac:dyDescent="0.25">
      <c r="A160" s="127" t="s">
        <v>26</v>
      </c>
      <c r="B160" s="124">
        <f>H38</f>
        <v>0</v>
      </c>
      <c r="C160" s="125" t="e">
        <f t="shared" si="1"/>
        <v>#N/A</v>
      </c>
      <c r="D160" s="125" t="e">
        <f t="shared" si="1"/>
        <v>#N/A</v>
      </c>
      <c r="E160" s="125" t="e">
        <f t="shared" si="1"/>
        <v>#N/A</v>
      </c>
      <c r="F160" s="125" t="e">
        <f t="shared" si="1"/>
        <v>#N/A</v>
      </c>
      <c r="G160" s="125" t="e">
        <f t="shared" si="1"/>
        <v>#N/A</v>
      </c>
      <c r="H160" s="125" t="e">
        <f t="shared" si="1"/>
        <v>#N/A</v>
      </c>
      <c r="I160" s="125" t="e">
        <f t="shared" si="1"/>
        <v>#N/A</v>
      </c>
      <c r="J160" s="125" t="e">
        <f t="shared" si="1"/>
        <v>#N/A</v>
      </c>
    </row>
    <row r="161" spans="1:11" ht="18" hidden="1" x14ac:dyDescent="0.25">
      <c r="A161" s="126"/>
      <c r="B161" s="124"/>
      <c r="C161" s="125"/>
      <c r="D161" s="125"/>
      <c r="E161" s="125"/>
      <c r="F161" s="125"/>
      <c r="G161" s="125"/>
      <c r="H161" s="125"/>
      <c r="I161" s="125"/>
      <c r="J161" s="125"/>
    </row>
    <row r="162" spans="1:11" ht="18" hidden="1" x14ac:dyDescent="0.25">
      <c r="A162" s="127" t="s">
        <v>28</v>
      </c>
      <c r="B162" s="124">
        <f>H40</f>
        <v>0</v>
      </c>
      <c r="C162" s="125" t="e">
        <f t="shared" ref="C162:J165" si="2">$B162*C$145</f>
        <v>#N/A</v>
      </c>
      <c r="D162" s="125" t="e">
        <f t="shared" si="2"/>
        <v>#N/A</v>
      </c>
      <c r="E162" s="125" t="e">
        <f t="shared" si="2"/>
        <v>#N/A</v>
      </c>
      <c r="F162" s="125" t="e">
        <f t="shared" si="2"/>
        <v>#N/A</v>
      </c>
      <c r="G162" s="125" t="e">
        <f t="shared" si="2"/>
        <v>#N/A</v>
      </c>
      <c r="H162" s="125" t="e">
        <f t="shared" si="2"/>
        <v>#N/A</v>
      </c>
      <c r="I162" s="125" t="e">
        <f t="shared" si="2"/>
        <v>#N/A</v>
      </c>
      <c r="J162" s="125" t="e">
        <f t="shared" si="2"/>
        <v>#N/A</v>
      </c>
    </row>
    <row r="163" spans="1:11" ht="18" hidden="1" x14ac:dyDescent="0.25">
      <c r="A163" s="127" t="s">
        <v>32</v>
      </c>
      <c r="B163" s="124">
        <f>H41</f>
        <v>0</v>
      </c>
      <c r="C163" s="125" t="e">
        <f t="shared" si="2"/>
        <v>#N/A</v>
      </c>
      <c r="D163" s="125" t="e">
        <f t="shared" si="2"/>
        <v>#N/A</v>
      </c>
      <c r="E163" s="125" t="e">
        <f t="shared" si="2"/>
        <v>#N/A</v>
      </c>
      <c r="F163" s="125" t="e">
        <f t="shared" si="2"/>
        <v>#N/A</v>
      </c>
      <c r="G163" s="125" t="e">
        <f t="shared" si="2"/>
        <v>#N/A</v>
      </c>
      <c r="H163" s="125" t="e">
        <f t="shared" si="2"/>
        <v>#N/A</v>
      </c>
      <c r="I163" s="125" t="e">
        <f t="shared" si="2"/>
        <v>#N/A</v>
      </c>
      <c r="J163" s="125" t="e">
        <f t="shared" si="2"/>
        <v>#N/A</v>
      </c>
    </row>
    <row r="164" spans="1:11" ht="18" hidden="1" x14ac:dyDescent="0.25">
      <c r="A164" s="127" t="s">
        <v>58</v>
      </c>
      <c r="B164" s="124">
        <f>H42</f>
        <v>0</v>
      </c>
      <c r="C164" s="125" t="e">
        <f t="shared" si="2"/>
        <v>#N/A</v>
      </c>
      <c r="D164" s="125" t="e">
        <f t="shared" si="2"/>
        <v>#N/A</v>
      </c>
      <c r="E164" s="125" t="e">
        <f t="shared" si="2"/>
        <v>#N/A</v>
      </c>
      <c r="F164" s="125" t="e">
        <f t="shared" si="2"/>
        <v>#N/A</v>
      </c>
      <c r="G164" s="125" t="e">
        <f t="shared" si="2"/>
        <v>#N/A</v>
      </c>
      <c r="H164" s="125" t="e">
        <f t="shared" si="2"/>
        <v>#N/A</v>
      </c>
      <c r="I164" s="125" t="e">
        <f t="shared" si="2"/>
        <v>#N/A</v>
      </c>
      <c r="J164" s="125" t="e">
        <f t="shared" si="2"/>
        <v>#N/A</v>
      </c>
    </row>
    <row r="165" spans="1:11" ht="18" hidden="1" x14ac:dyDescent="0.25">
      <c r="A165" s="127" t="s">
        <v>102</v>
      </c>
      <c r="B165" s="124">
        <f>B149</f>
        <v>1.2</v>
      </c>
      <c r="C165" s="125" t="e">
        <f t="shared" si="2"/>
        <v>#N/A</v>
      </c>
      <c r="D165" s="125" t="e">
        <f t="shared" si="2"/>
        <v>#N/A</v>
      </c>
      <c r="E165" s="125" t="e">
        <f t="shared" si="2"/>
        <v>#N/A</v>
      </c>
      <c r="F165" s="125" t="e">
        <f t="shared" si="2"/>
        <v>#N/A</v>
      </c>
      <c r="G165" s="125" t="e">
        <f t="shared" si="2"/>
        <v>#N/A</v>
      </c>
      <c r="H165" s="125" t="e">
        <f t="shared" si="2"/>
        <v>#N/A</v>
      </c>
      <c r="I165" s="125" t="e">
        <f t="shared" si="2"/>
        <v>#N/A</v>
      </c>
      <c r="J165" s="125" t="e">
        <f t="shared" si="2"/>
        <v>#N/A</v>
      </c>
      <c r="K165" s="73"/>
    </row>
    <row r="166" spans="1:11" ht="18" hidden="1" x14ac:dyDescent="0.25">
      <c r="A166" s="126"/>
      <c r="B166" s="128"/>
      <c r="C166" s="128"/>
      <c r="D166" s="128"/>
      <c r="E166" s="128"/>
      <c r="F166" s="128"/>
      <c r="G166" s="128"/>
      <c r="H166" s="128"/>
      <c r="I166" s="128"/>
      <c r="J166" s="128"/>
    </row>
    <row r="167" spans="1:11" s="128" customFormat="1" ht="18" x14ac:dyDescent="0.25">
      <c r="A167" s="15"/>
      <c r="B167" s="16"/>
      <c r="C167" s="16"/>
      <c r="D167" s="16"/>
      <c r="E167" s="16"/>
      <c r="F167" s="16"/>
      <c r="G167" s="16"/>
      <c r="H167" s="16"/>
      <c r="I167" s="16"/>
      <c r="J167" s="16"/>
      <c r="K167" s="16"/>
    </row>
    <row r="168" spans="1:11" s="128" customFormat="1" ht="84.75" customHeight="1" x14ac:dyDescent="0.25">
      <c r="A168" s="204" t="s">
        <v>126</v>
      </c>
      <c r="B168" s="205"/>
      <c r="C168" s="205"/>
      <c r="D168" s="205"/>
      <c r="E168" s="205"/>
      <c r="F168" s="205"/>
      <c r="G168" s="205"/>
      <c r="H168" s="205"/>
      <c r="I168" s="205"/>
      <c r="J168" s="206"/>
      <c r="K168" s="16"/>
    </row>
    <row r="169" spans="1:11" s="128" customFormat="1" ht="18" x14ac:dyDescent="0.25">
      <c r="A169" s="15"/>
      <c r="B169" s="16"/>
      <c r="C169" s="16"/>
      <c r="D169" s="16"/>
      <c r="E169" s="16"/>
      <c r="F169" s="16"/>
      <c r="G169" s="16"/>
      <c r="H169" s="16"/>
      <c r="I169" s="16"/>
      <c r="J169" s="16"/>
      <c r="K169" s="16"/>
    </row>
    <row r="170" spans="1:11" s="128" customFormat="1" ht="18" x14ac:dyDescent="0.25">
      <c r="A170" s="15"/>
      <c r="B170" s="16"/>
      <c r="C170" s="16"/>
      <c r="D170" s="16"/>
      <c r="E170" s="16"/>
      <c r="F170" s="16"/>
      <c r="G170" s="16"/>
      <c r="H170" s="16"/>
      <c r="I170" s="16"/>
      <c r="J170" s="16"/>
      <c r="K170" s="16"/>
    </row>
    <row r="171" spans="1:11" s="128" customFormat="1" ht="18" x14ac:dyDescent="0.25">
      <c r="A171" s="15"/>
      <c r="B171" s="16"/>
      <c r="C171" s="16"/>
      <c r="D171" s="16"/>
      <c r="E171" s="16"/>
      <c r="F171" s="16"/>
      <c r="G171" s="16"/>
      <c r="H171" s="16"/>
      <c r="I171" s="16"/>
      <c r="J171" s="16"/>
      <c r="K171" s="16"/>
    </row>
    <row r="172" spans="1:11" s="128" customFormat="1" ht="18" x14ac:dyDescent="0.25">
      <c r="A172" s="15"/>
      <c r="B172" s="16"/>
      <c r="C172" s="16"/>
      <c r="D172" s="16"/>
      <c r="E172" s="16"/>
      <c r="F172" s="16"/>
      <c r="G172" s="16"/>
      <c r="H172" s="16"/>
      <c r="I172" s="16"/>
      <c r="J172" s="16"/>
      <c r="K172" s="16"/>
    </row>
    <row r="173" spans="1:11" s="128" customFormat="1" ht="18" x14ac:dyDescent="0.25">
      <c r="A173" s="15"/>
      <c r="B173" s="16"/>
      <c r="C173" s="16"/>
      <c r="D173" s="16"/>
      <c r="E173" s="16"/>
      <c r="F173" s="16"/>
      <c r="G173" s="16"/>
      <c r="H173" s="16"/>
      <c r="I173" s="16"/>
      <c r="J173" s="16"/>
      <c r="K173" s="16"/>
    </row>
    <row r="174" spans="1:11" s="128" customFormat="1" ht="18" x14ac:dyDescent="0.25">
      <c r="A174" s="15"/>
      <c r="B174" s="16"/>
      <c r="C174" s="16"/>
      <c r="D174" s="16"/>
      <c r="E174" s="16"/>
      <c r="F174" s="16"/>
      <c r="G174" s="16"/>
      <c r="H174" s="16"/>
      <c r="I174" s="16"/>
      <c r="J174" s="16"/>
      <c r="K174" s="16"/>
    </row>
    <row r="175" spans="1:11" s="128" customFormat="1" ht="18" x14ac:dyDescent="0.25">
      <c r="A175" s="15"/>
      <c r="B175" s="16"/>
      <c r="C175" s="16"/>
      <c r="D175" s="16"/>
      <c r="E175" s="16"/>
      <c r="F175" s="16"/>
      <c r="G175" s="16"/>
      <c r="H175" s="16"/>
      <c r="I175" s="16"/>
      <c r="J175" s="16"/>
      <c r="K175" s="16"/>
    </row>
    <row r="176" spans="1:11" s="128" customFormat="1" ht="18" x14ac:dyDescent="0.25">
      <c r="A176" s="15"/>
      <c r="B176" s="16"/>
      <c r="C176" s="16"/>
      <c r="D176" s="16"/>
      <c r="E176" s="16"/>
      <c r="F176" s="16"/>
      <c r="G176" s="16"/>
      <c r="H176" s="16"/>
      <c r="I176" s="16"/>
      <c r="J176" s="16"/>
      <c r="K176" s="16"/>
    </row>
    <row r="177" spans="1:19" s="128" customFormat="1" ht="18" x14ac:dyDescent="0.25">
      <c r="A177" s="15"/>
      <c r="B177" s="16"/>
      <c r="C177" s="16"/>
      <c r="D177" s="16"/>
      <c r="E177" s="16"/>
      <c r="F177" s="16"/>
      <c r="G177" s="16"/>
      <c r="H177" s="16"/>
      <c r="I177" s="16"/>
      <c r="J177" s="16"/>
      <c r="K177" s="16"/>
    </row>
    <row r="178" spans="1:19" s="128" customFormat="1" ht="18" x14ac:dyDescent="0.25">
      <c r="A178" s="15"/>
      <c r="B178" s="16"/>
      <c r="C178" s="16"/>
      <c r="D178" s="16"/>
      <c r="E178" s="16"/>
      <c r="F178" s="16"/>
      <c r="G178" s="16"/>
      <c r="H178" s="16"/>
      <c r="I178" s="16"/>
      <c r="J178" s="16"/>
      <c r="K178" s="16"/>
    </row>
    <row r="179" spans="1:19" s="128" customFormat="1" ht="18" x14ac:dyDescent="0.25">
      <c r="A179" s="15"/>
      <c r="B179" s="16"/>
      <c r="C179" s="16"/>
      <c r="D179" s="16"/>
      <c r="E179" s="16"/>
      <c r="F179" s="16"/>
      <c r="G179" s="16"/>
      <c r="H179" s="16"/>
      <c r="I179" s="16"/>
      <c r="J179" s="16"/>
      <c r="K179" s="16"/>
    </row>
    <row r="180" spans="1:19" s="128" customFormat="1" ht="18" x14ac:dyDescent="0.25">
      <c r="A180" s="15"/>
      <c r="B180" s="16"/>
      <c r="C180" s="16"/>
      <c r="D180" s="16"/>
      <c r="E180" s="16"/>
      <c r="F180" s="16"/>
      <c r="G180" s="16"/>
      <c r="H180" s="16"/>
      <c r="I180" s="16"/>
      <c r="J180" s="16"/>
      <c r="K180" s="16"/>
    </row>
    <row r="181" spans="1:19" s="128" customFormat="1" ht="18" x14ac:dyDescent="0.25">
      <c r="A181" s="15"/>
      <c r="B181" s="16"/>
      <c r="C181" s="16"/>
      <c r="D181" s="16"/>
      <c r="E181" s="16"/>
      <c r="F181" s="16"/>
      <c r="G181" s="16"/>
      <c r="H181" s="16"/>
      <c r="I181" s="16"/>
      <c r="J181" s="16"/>
      <c r="K181" s="16"/>
    </row>
    <row r="182" spans="1:19" s="128" customFormat="1" ht="18" x14ac:dyDescent="0.25">
      <c r="A182" s="15"/>
      <c r="B182" s="16"/>
      <c r="C182" s="16"/>
      <c r="D182" s="16"/>
      <c r="E182" s="16"/>
      <c r="F182" s="16"/>
      <c r="G182" s="16"/>
      <c r="H182" s="16"/>
      <c r="I182" s="16"/>
      <c r="J182" s="16"/>
      <c r="K182" s="16"/>
    </row>
    <row r="183" spans="1:19" s="128" customFormat="1" ht="18" x14ac:dyDescent="0.25">
      <c r="A183" s="15"/>
      <c r="B183" s="16"/>
      <c r="C183" s="16"/>
      <c r="D183" s="16"/>
      <c r="E183" s="16"/>
      <c r="F183" s="16"/>
      <c r="G183" s="16"/>
      <c r="H183" s="16"/>
      <c r="I183" s="16"/>
      <c r="J183" s="16"/>
      <c r="K183" s="16"/>
      <c r="R183" s="16"/>
      <c r="S183" s="16"/>
    </row>
  </sheetData>
  <sheetProtection algorithmName="SHA-512" hashValue="tE5aJGpAo6IA3JpOD8C6QJJKK6uwvrXVyRbut91R6MmnF4D3YhR8EdTIlIl4jfms5K9E4ioLAdVYHxv+zpRxZQ==" saltValue="9Rbmvmldkq8jz0UCWyP7rA==" spinCount="100000" sheet="1" selectLockedCells="1"/>
  <mergeCells count="80">
    <mergeCell ref="A168:J168"/>
    <mergeCell ref="A154:J154"/>
    <mergeCell ref="B77:H77"/>
    <mergeCell ref="B66:E66"/>
    <mergeCell ref="F66:J66"/>
    <mergeCell ref="F67:J67"/>
    <mergeCell ref="B67:E67"/>
    <mergeCell ref="A145:B145"/>
    <mergeCell ref="A144:B144"/>
    <mergeCell ref="A142:J142"/>
    <mergeCell ref="A141:J141"/>
    <mergeCell ref="A105:H105"/>
    <mergeCell ref="A89:H89"/>
    <mergeCell ref="A93:H93"/>
    <mergeCell ref="D79:H79"/>
    <mergeCell ref="A129:H129"/>
    <mergeCell ref="A117:H117"/>
    <mergeCell ref="A90:H90"/>
    <mergeCell ref="C11:D11"/>
    <mergeCell ref="C17:D17"/>
    <mergeCell ref="E13:F13"/>
    <mergeCell ref="E17:F17"/>
    <mergeCell ref="E11:F11"/>
    <mergeCell ref="A40:B40"/>
    <mergeCell ref="A37:B37"/>
    <mergeCell ref="A38:B38"/>
    <mergeCell ref="E32:H32"/>
    <mergeCell ref="A24:B24"/>
    <mergeCell ref="A26:B26"/>
    <mergeCell ref="H34:H35"/>
    <mergeCell ref="G34:G35"/>
    <mergeCell ref="A48:H48"/>
    <mergeCell ref="A75:J75"/>
    <mergeCell ref="B74:C74"/>
    <mergeCell ref="F74:G74"/>
    <mergeCell ref="F39:H39"/>
    <mergeCell ref="A27:B27"/>
    <mergeCell ref="A28:B28"/>
    <mergeCell ref="A41:B41"/>
    <mergeCell ref="A42:B42"/>
    <mergeCell ref="A62:J62"/>
    <mergeCell ref="A64:J64"/>
    <mergeCell ref="B46:H46"/>
    <mergeCell ref="D42:D43"/>
    <mergeCell ref="A43:B43"/>
    <mergeCell ref="F43:H43"/>
    <mergeCell ref="D44:E44"/>
    <mergeCell ref="B45:H45"/>
    <mergeCell ref="A47:H47"/>
    <mergeCell ref="F34:F35"/>
    <mergeCell ref="D28:E28"/>
    <mergeCell ref="D27:E27"/>
    <mergeCell ref="A36:B36"/>
    <mergeCell ref="A35:B35"/>
    <mergeCell ref="A34:B34"/>
    <mergeCell ref="D29:G29"/>
    <mergeCell ref="C18:F18"/>
    <mergeCell ref="A32:C32"/>
    <mergeCell ref="D25:G25"/>
    <mergeCell ref="G17:H17"/>
    <mergeCell ref="D22:J22"/>
    <mergeCell ref="A22:B22"/>
    <mergeCell ref="A23:B23"/>
    <mergeCell ref="D24:F24"/>
    <mergeCell ref="A20:E20"/>
    <mergeCell ref="A17:B17"/>
    <mergeCell ref="A29:B29"/>
    <mergeCell ref="A25:B25"/>
    <mergeCell ref="A8:J8"/>
    <mergeCell ref="C15:E16"/>
    <mergeCell ref="A2:J2"/>
    <mergeCell ref="A1:J1"/>
    <mergeCell ref="A6:J6"/>
    <mergeCell ref="A7:J7"/>
    <mergeCell ref="A5:J5"/>
    <mergeCell ref="A13:B13"/>
    <mergeCell ref="C13:D13"/>
    <mergeCell ref="A15:B15"/>
    <mergeCell ref="G13:H13"/>
    <mergeCell ref="A3:J3"/>
  </mergeCells>
  <phoneticPr fontId="0" type="noConversion"/>
  <dataValidations xWindow="510" yWindow="583" count="22">
    <dataValidation operator="greaterThanOrEqual" showInputMessage="1" showErrorMessage="1" errorTitle="Insufficeint Units at 35%" error="A minimum of 10% of the affordable units must be priced to be available to families earning 35% or less of median income." sqref="F37" xr:uid="{00000000-0002-0000-0000-000000000000}"/>
    <dataValidation type="whole" operator="greaterThanOrEqual" allowBlank="1" showInputMessage="1" showErrorMessage="1" errorTitle="Insufficeint number of low units" error="A minimum of 50% of the affordable units must be priced to be affordable to low-income households." prompt="Enter the number of units that will be priced to be affordable to households earning less than 50% of the regional median income.  This figure MUST BE AT LEAST HALF of the total number of affordable units in the development." sqref="C37" xr:uid="{00000000-0002-0000-0000-000001000000}">
      <formula1>C35*0.5</formula1>
    </dataValidation>
    <dataValidation type="whole" operator="equal" allowBlank="1" showInputMessage="1" showErrorMessage="1" errorTitle="Incorrect Number of Units" error="The suml of low units and mod units does not equal the total number of affordable units." prompt="Enter the number of units that will be priced to be affordable to households earning between 50% and 80% of regional median income.  This number MAY NOT EXCEED half of the total number of affordable units in the development." sqref="C38" xr:uid="{00000000-0002-0000-0000-000002000000}">
      <formula1>C35-C37</formula1>
    </dataValidation>
    <dataValidation type="whole" allowBlank="1" showInputMessage="1" showErrorMessage="1" error="COAH uses six statewide regions.  Number entered must be between 1 and 6." prompt="Enter COAH Region 1 through 6." sqref="C17:D17" xr:uid="{00000000-0002-0000-0000-000003000000}">
      <formula1>1</formula1>
      <formula2>6</formula2>
    </dataValidation>
    <dataValidation type="whole" operator="lessThanOrEqual" allowBlank="1" showInputMessage="1" showErrorMessage="1" errorTitle="Bedroom Distribution Error" error="No more than 20% of the affordable units may be one-bedroom units." prompt="Enter the number of AFFORDABLE one-bedroom units.  No more than 20% of the total number of affordable units may be one-bedroom units." sqref="C40" xr:uid="{00000000-0002-0000-0000-000004000000}">
      <formula1>C35*0.2</formula1>
    </dataValidation>
    <dataValidation type="whole" operator="greaterThanOrEqual" allowBlank="1" showInputMessage="1" showErrorMessage="1" errorTitle="Bedroom Distribution Error" error="A minimum of 30% of the affordab;e units must be two-bedroom units." prompt="Enter the number of AFFORDABLE two-bedroom units.  At least 30% of the total number of affordable units MUST be two-bedroom units." sqref="C41" xr:uid="{00000000-0002-0000-0000-000005000000}">
      <formula1>C35*0.3</formula1>
    </dataValidation>
    <dataValidation type="whole" errorStyle="warning" operator="greaterThanOrEqual" showInputMessage="1" showErrorMessage="1" errorTitle="Bedroom distribution error" error="A minimum of 20% of the affordable units must have three or more bedrooms." prompt="Enter the number of AFFORDABLE three-bedroom units.  At least 20% of the total number of affordable units MUST contain three or more bedrooms.  While four-bedroom units are not required, they may be combined with three-bedroom units to meet this minimum." sqref="C42" xr:uid="{00000000-0002-0000-0000-000006000000}">
      <formula1>IF(C43="",C35*0.2,(C35*0.2)-C43)</formula1>
    </dataValidation>
    <dataValidation type="whole" errorStyle="warning" operator="greaterThanOrEqual" allowBlank="1" showInputMessage="1" showErrorMessage="1" errorTitle="Bedroom distribution error" error="A minimum of 20% of the affordable units must have three or more bedrooms." prompt="Enter the number of AFFORDABLE four-bedroom units if any.  There is no minimum requirement for units of this size." sqref="C43" xr:uid="{00000000-0002-0000-0000-000007000000}">
      <formula1>IF(C42="",C35*0.2,(C35*0.2)-C42)</formula1>
    </dataValidation>
    <dataValidation type="decimal" operator="lessThanOrEqual" allowBlank="1" showInputMessage="1" showErrorMessage="1" errorTitle="Range of Affordability Error" error="Units may not be priced higher than 70% of median income." sqref="H42" xr:uid="{00000000-0002-0000-0000-000008000000}">
      <formula1>0.7</formula1>
    </dataValidation>
    <dataValidation errorStyle="warning" operator="lessThanOrEqual" allowBlank="1" showInputMessage="1" showErrorMessage="1" errorTitle="Range of Affordability Error" error="Average affordability of all units may not exceed 55% of Regional Median Income." sqref="H44" xr:uid="{00000000-0002-0000-0000-000009000000}"/>
    <dataValidation type="decimal" operator="lessThanOrEqual" allowBlank="1" showInputMessage="1" showErrorMessage="1" errorTitle="Pricing Error" error="Low-income units may not be priced to exceed 50% of the regional median income." sqref="H37" xr:uid="{00000000-0002-0000-0000-00000A000000}">
      <formula1>0.5</formula1>
    </dataValidation>
    <dataValidation type="decimal" operator="lessThanOrEqual" allowBlank="1" showInputMessage="1" showErrorMessage="1" errorTitle="Pricing Error" error="Low-income units may not be priced to exceed 50% of regional median income." sqref="H38" xr:uid="{00000000-0002-0000-0000-00000B000000}">
      <formula1>0.5</formula1>
    </dataValidation>
    <dataValidation type="decimal" operator="lessThanOrEqual" allowBlank="1" showInputMessage="1" showErrorMessage="1" errorTitle="Pricing Error" error="Moderate-income units may not be priced to exceed 70% of regional median income." sqref="H40:H41" xr:uid="{00000000-0002-0000-0000-00000C000000}">
      <formula1>0.7</formula1>
    </dataValidation>
    <dataValidation allowBlank="1" showInputMessage="1" showErrorMessage="1" prompt="Enter annual mortgage interest rate as a percentage.  For example, enter 7.25% as 7.25, NOT 0.0725." sqref="C22" xr:uid="{00000000-0002-0000-0000-00000D000000}"/>
    <dataValidation operator="lessThanOrEqual" allowBlank="1" errorTitle="Invalid Bedroom Distribution" error="You have entered an excessive number of one-bedroom units." sqref="B73 F73" xr:uid="{00000000-0002-0000-0000-00000E000000}"/>
    <dataValidation operator="equal" allowBlank="1" showInputMessage="1" showErrorMessage="1" error="." sqref="G69:G72" xr:uid="{00000000-0002-0000-0000-00000F000000}"/>
    <dataValidation allowBlank="1" showInputMessage="1" showErrorMessage="1" prompt="Enter the monthly amount of anticipated homeowner association fees.  Make sure this amount has been verified through the public offering statement filed with the Planned Real Estate Development (PRED) division at DCA." sqref="C23" xr:uid="{00000000-0002-0000-0000-000010000000}"/>
    <dataValidation allowBlank="1" showInputMessage="1" showErrorMessage="1" promptTitle="&quot;Property Tax Rate&quot; Data Link " prompt="Enter the property tax rate for the municipality in which the development is located.  This is the General Tax Rate amount per $100 of assessed valuation available from the Division of Taxation. Click the link and scroll down to year and County." sqref="C24" xr:uid="{00000000-0002-0000-0000-000011000000}"/>
    <dataValidation allowBlank="1" showInputMessage="1" showErrorMessage="1" promptTitle="&quot;Equalization Ratio&quot; Data Link" prompt="Enter the most recent equalization ratio for the municipality in which the development is located.  This figure is available from the NJ Department of Treasury, Division of Taxation through the link provided to the left.  Use the &quot;Avergage Ratio&quot; Column. " sqref="C25" xr:uid="{00000000-0002-0000-0000-000012000000}"/>
    <dataValidation allowBlank="1" showInputMessage="1" showErrorMessage="1" prompt="Enter the monthly cost of homeowner's insurance." sqref="C26" xr:uid="{00000000-0002-0000-0000-000013000000}"/>
    <dataValidation allowBlank="1" showInputMessage="1" showErrorMessage="1" prompt="Enter the total number of units in the development.  This includes both market-rate and affordable units." sqref="C34" xr:uid="{00000000-0002-0000-0000-000014000000}"/>
    <dataValidation allowBlank="1" showInputMessage="1" showErrorMessage="1" prompt="Enter the total number of affordable units in the development." sqref="C35" xr:uid="{00000000-0002-0000-0000-000015000000}"/>
  </dataValidations>
  <hyperlinks>
    <hyperlink ref="A25:B25" r:id="rId1" display="EQUALIZATION RATIO" xr:uid="{00000000-0004-0000-0000-000000000000}"/>
    <hyperlink ref="A24:B24" r:id="rId2" display="PROPERTY TAX RATE" xr:uid="{00000000-0004-0000-0000-000001000000}"/>
    <hyperlink ref="D22:J22" r:id="rId3" display="Click this link to navigate to the Federal Reserve H15 rate and use the last figure in the right column" xr:uid="{00000000-0004-0000-0000-000003000000}"/>
  </hyperlinks>
  <printOptions horizontalCentered="1"/>
  <pageMargins left="0.5" right="0.5" top="0.5" bottom="0.5" header="0.5" footer="0.5"/>
  <pageSetup scale="54" fitToHeight="0" orientation="portrait" horizontalDpi="300" verticalDpi="300" r:id="rId4"/>
  <headerFooter alignWithMargins="0">
    <oddFooter>&amp;CPage &amp;P&amp;RGeneral Sales Calculator</oddFooter>
  </headerFooter>
  <rowBreaks count="3" manualBreakCount="3">
    <brk id="47" max="9" man="1"/>
    <brk id="87" max="9" man="1"/>
    <brk id="128"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2"/>
  <sheetViews>
    <sheetView showRowColHeaders="0" workbookViewId="0">
      <selection activeCell="D4" sqref="D4"/>
    </sheetView>
  </sheetViews>
  <sheetFormatPr defaultRowHeight="15" x14ac:dyDescent="0.2"/>
  <cols>
    <col min="1" max="1" width="2" bestFit="1" customWidth="1"/>
    <col min="2" max="2" width="29.5546875" bestFit="1" customWidth="1"/>
  </cols>
  <sheetData>
    <row r="1" spans="1:10" x14ac:dyDescent="0.2">
      <c r="A1" s="1"/>
      <c r="B1" s="1"/>
      <c r="C1" s="216" t="s">
        <v>45</v>
      </c>
      <c r="D1" s="216"/>
      <c r="E1" s="216"/>
      <c r="F1" s="216"/>
      <c r="G1" s="216"/>
      <c r="H1" s="216"/>
      <c r="I1" s="2"/>
      <c r="J1" s="2"/>
    </row>
    <row r="2" spans="1:10" x14ac:dyDescent="0.2">
      <c r="A2" s="1"/>
      <c r="B2" s="1"/>
      <c r="C2" s="3"/>
      <c r="D2" s="216" t="s">
        <v>46</v>
      </c>
      <c r="E2" s="216"/>
      <c r="F2" s="216"/>
      <c r="G2" s="216"/>
      <c r="H2" s="3"/>
      <c r="I2" s="3"/>
      <c r="J2" s="3"/>
    </row>
    <row r="3" spans="1:10" x14ac:dyDescent="0.2">
      <c r="A3" s="1"/>
      <c r="B3" s="1"/>
      <c r="C3" s="3"/>
      <c r="D3" s="216" t="s">
        <v>123</v>
      </c>
      <c r="E3" s="216"/>
      <c r="F3" s="216"/>
      <c r="G3" s="216"/>
      <c r="H3" s="3"/>
      <c r="I3" s="3"/>
      <c r="J3" s="3"/>
    </row>
    <row r="4" spans="1:10" x14ac:dyDescent="0.2">
      <c r="A4" s="1"/>
      <c r="B4" s="1"/>
      <c r="C4" s="3"/>
      <c r="D4" s="3"/>
      <c r="E4" s="3"/>
      <c r="F4" s="3"/>
      <c r="G4" s="3"/>
      <c r="H4" s="3"/>
      <c r="I4" s="3"/>
      <c r="J4" s="3"/>
    </row>
    <row r="5" spans="1:10" x14ac:dyDescent="0.2">
      <c r="A5" s="4"/>
      <c r="B5" s="5" t="s">
        <v>47</v>
      </c>
      <c r="C5" s="6" t="s">
        <v>48</v>
      </c>
      <c r="D5" s="6" t="s">
        <v>49</v>
      </c>
      <c r="E5" s="6" t="s">
        <v>50</v>
      </c>
      <c r="F5" s="6" t="s">
        <v>51</v>
      </c>
      <c r="G5" s="6" t="s">
        <v>52</v>
      </c>
      <c r="H5" s="6" t="s">
        <v>53</v>
      </c>
      <c r="I5" s="6" t="s">
        <v>54</v>
      </c>
      <c r="J5" s="6" t="s">
        <v>55</v>
      </c>
    </row>
    <row r="6" spans="1:10" x14ac:dyDescent="0.2">
      <c r="A6" s="4"/>
      <c r="B6" s="7"/>
      <c r="C6" s="3"/>
      <c r="D6" s="3"/>
      <c r="E6" s="3"/>
      <c r="F6" s="3"/>
      <c r="G6" s="3"/>
      <c r="H6" s="3"/>
      <c r="I6" s="3"/>
      <c r="J6" s="3"/>
    </row>
    <row r="7" spans="1:10" x14ac:dyDescent="0.2">
      <c r="A7" s="4">
        <v>1</v>
      </c>
      <c r="B7" s="8" t="s">
        <v>60</v>
      </c>
      <c r="C7" s="9">
        <f t="shared" ref="C7:C12" si="0">F7*0.7</f>
        <v>59095.399999999994</v>
      </c>
      <c r="D7" s="9">
        <f t="shared" ref="D7:D12" si="1">F7*0.8</f>
        <v>67537.600000000006</v>
      </c>
      <c r="E7" s="9">
        <f t="shared" ref="E7:E12" si="2">F7*0.9</f>
        <v>75979.8</v>
      </c>
      <c r="F7" s="131">
        <v>84422</v>
      </c>
      <c r="G7" s="9">
        <f t="shared" ref="G7:G12" si="3">F7*1.08</f>
        <v>91175.760000000009</v>
      </c>
      <c r="H7" s="9">
        <f t="shared" ref="H7:H12" si="4">F7*1.16</f>
        <v>97929.51999999999</v>
      </c>
      <c r="I7" s="9">
        <f t="shared" ref="I7:I12" si="5">F7*1.24</f>
        <v>104683.28</v>
      </c>
      <c r="J7" s="9">
        <f t="shared" ref="J7:J12" si="6">F7*1.32</f>
        <v>111437.04000000001</v>
      </c>
    </row>
    <row r="8" spans="1:10" x14ac:dyDescent="0.2">
      <c r="A8" s="4">
        <v>2</v>
      </c>
      <c r="B8" s="8" t="s">
        <v>64</v>
      </c>
      <c r="C8" s="9">
        <f t="shared" si="0"/>
        <v>63429.799999999996</v>
      </c>
      <c r="D8" s="9">
        <f t="shared" si="1"/>
        <v>72491.199999999997</v>
      </c>
      <c r="E8" s="9">
        <f t="shared" si="2"/>
        <v>81552.600000000006</v>
      </c>
      <c r="F8" s="131">
        <v>90614</v>
      </c>
      <c r="G8" s="9">
        <f t="shared" si="3"/>
        <v>97863.12000000001</v>
      </c>
      <c r="H8" s="9">
        <f t="shared" si="4"/>
        <v>105112.23999999999</v>
      </c>
      <c r="I8" s="9">
        <f t="shared" si="5"/>
        <v>112361.36</v>
      </c>
      <c r="J8" s="9">
        <f t="shared" si="6"/>
        <v>119610.48000000001</v>
      </c>
    </row>
    <row r="9" spans="1:10" x14ac:dyDescent="0.2">
      <c r="A9" s="4">
        <v>3</v>
      </c>
      <c r="B9" s="8" t="s">
        <v>61</v>
      </c>
      <c r="C9" s="9">
        <f t="shared" si="0"/>
        <v>73500</v>
      </c>
      <c r="D9" s="9">
        <f t="shared" si="1"/>
        <v>84000</v>
      </c>
      <c r="E9" s="9">
        <f t="shared" si="2"/>
        <v>94500</v>
      </c>
      <c r="F9" s="131">
        <v>105000</v>
      </c>
      <c r="G9" s="9">
        <f t="shared" si="3"/>
        <v>113400.00000000001</v>
      </c>
      <c r="H9" s="9">
        <f t="shared" si="4"/>
        <v>121799.99999999999</v>
      </c>
      <c r="I9" s="9">
        <f t="shared" si="5"/>
        <v>130200</v>
      </c>
      <c r="J9" s="9">
        <f t="shared" si="6"/>
        <v>138600</v>
      </c>
    </row>
    <row r="10" spans="1:10" x14ac:dyDescent="0.2">
      <c r="A10" s="4">
        <v>4</v>
      </c>
      <c r="B10" s="8" t="s">
        <v>62</v>
      </c>
      <c r="C10" s="9">
        <f t="shared" si="0"/>
        <v>64829.799999999996</v>
      </c>
      <c r="D10" s="9">
        <f t="shared" si="1"/>
        <v>74091.199999999997</v>
      </c>
      <c r="E10" s="9">
        <f t="shared" si="2"/>
        <v>83352.600000000006</v>
      </c>
      <c r="F10" s="131">
        <v>92614</v>
      </c>
      <c r="G10" s="9">
        <f t="shared" si="3"/>
        <v>100023.12000000001</v>
      </c>
      <c r="H10" s="9">
        <f t="shared" si="4"/>
        <v>107432.23999999999</v>
      </c>
      <c r="I10" s="9">
        <f t="shared" si="5"/>
        <v>114841.36</v>
      </c>
      <c r="J10" s="9">
        <f t="shared" si="6"/>
        <v>122250.48000000001</v>
      </c>
    </row>
    <row r="11" spans="1:10" x14ac:dyDescent="0.2">
      <c r="A11" s="4">
        <v>5</v>
      </c>
      <c r="B11" s="8" t="s">
        <v>63</v>
      </c>
      <c r="C11" s="9">
        <f t="shared" si="0"/>
        <v>57050</v>
      </c>
      <c r="D11" s="9">
        <f t="shared" si="1"/>
        <v>65200</v>
      </c>
      <c r="E11" s="9">
        <f t="shared" si="2"/>
        <v>73350</v>
      </c>
      <c r="F11" s="131">
        <v>81500</v>
      </c>
      <c r="G11" s="9">
        <f t="shared" si="3"/>
        <v>88020</v>
      </c>
      <c r="H11" s="9">
        <f t="shared" si="4"/>
        <v>94540</v>
      </c>
      <c r="I11" s="9">
        <f t="shared" si="5"/>
        <v>101060</v>
      </c>
      <c r="J11" s="9">
        <f t="shared" si="6"/>
        <v>107580</v>
      </c>
    </row>
    <row r="12" spans="1:10" x14ac:dyDescent="0.2">
      <c r="A12" s="4">
        <v>6</v>
      </c>
      <c r="B12" s="8" t="s">
        <v>69</v>
      </c>
      <c r="C12" s="9">
        <f t="shared" si="0"/>
        <v>51085.125</v>
      </c>
      <c r="D12" s="9">
        <f t="shared" si="1"/>
        <v>58383</v>
      </c>
      <c r="E12" s="9">
        <f t="shared" si="2"/>
        <v>65680.875</v>
      </c>
      <c r="F12" s="131">
        <v>72978.75</v>
      </c>
      <c r="G12" s="9">
        <f t="shared" si="3"/>
        <v>78817.05</v>
      </c>
      <c r="H12" s="9">
        <f t="shared" si="4"/>
        <v>84655.349999999991</v>
      </c>
      <c r="I12" s="9">
        <f t="shared" si="5"/>
        <v>90493.65</v>
      </c>
      <c r="J12" s="9">
        <f t="shared" si="6"/>
        <v>96331.950000000012</v>
      </c>
    </row>
    <row r="17" spans="5:8" x14ac:dyDescent="0.2">
      <c r="E17" s="11"/>
      <c r="G17" s="11"/>
      <c r="H17" s="10"/>
    </row>
    <row r="18" spans="5:8" x14ac:dyDescent="0.2">
      <c r="E18" s="11"/>
      <c r="G18" s="11"/>
      <c r="H18" s="10"/>
    </row>
    <row r="19" spans="5:8" x14ac:dyDescent="0.2">
      <c r="E19" s="11"/>
      <c r="G19" s="11"/>
      <c r="H19" s="10"/>
    </row>
    <row r="20" spans="5:8" x14ac:dyDescent="0.2">
      <c r="E20" s="11"/>
      <c r="G20" s="11"/>
      <c r="H20" s="10"/>
    </row>
    <row r="21" spans="5:8" x14ac:dyDescent="0.2">
      <c r="E21" s="11"/>
      <c r="G21" s="11"/>
      <c r="H21" s="10"/>
    </row>
    <row r="22" spans="5:8" x14ac:dyDescent="0.2">
      <c r="E22" s="11"/>
      <c r="G22" s="11"/>
      <c r="H22" s="10"/>
    </row>
  </sheetData>
  <sheetProtection algorithmName="SHA-512" hashValue="74SZKbSJiJCHlI7yfrQrntPH49iBU2hcu31DQEk8r+8tqM65kQjbPO4XmbdOkXq9wNJ+oOr4nMwa5pAGQLkh0Q==" saltValue="p/kP9RXqX2DxECLhhvNpiA==" spinCount="100000" sheet="1" objects="1" scenarios="1" selectLockedCells="1" selectUnlockedCells="1"/>
  <mergeCells count="3">
    <mergeCell ref="C1:H1"/>
    <mergeCell ref="D2:G2"/>
    <mergeCell ref="D3:G3"/>
  </mergeCells>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Calculator</vt:lpstr>
      <vt:lpstr>Income Limits</vt:lpstr>
      <vt:lpstr>FINANCIAL</vt:lpstr>
      <vt:lpstr>PAYDOWN</vt:lpstr>
      <vt:lpstr>Calculator!Print_Area</vt:lpstr>
      <vt:lpstr>Calculator!Print_Area_MI</vt:lpstr>
    </vt:vector>
  </TitlesOfParts>
  <Company>State of NJ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Henderson</dc:creator>
  <cp:lastModifiedBy>Burton Family</cp:lastModifiedBy>
  <cp:lastPrinted>2007-05-07T17:01:28Z</cp:lastPrinted>
  <dcterms:created xsi:type="dcterms:W3CDTF">2000-08-07T14:55:48Z</dcterms:created>
  <dcterms:modified xsi:type="dcterms:W3CDTF">2018-03-12T23:55:01Z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