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gphms\Private\john\Desktop\2018 Limits\"/>
    </mc:Choice>
  </mc:AlternateContent>
  <xr:revisionPtr revIDLastSave="0" documentId="13_ncr:1_{4A68676C-639F-4EB4-B6B0-29E5D406C72A}" xr6:coauthVersionLast="31" xr6:coauthVersionMax="31" xr10:uidLastSave="{00000000-0000-0000-0000-000000000000}"/>
  <bookViews>
    <workbookView xWindow="150" yWindow="90" windowWidth="12645" windowHeight="12570"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Calculator!$A$3:$H$126</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Calculator!$R$3:$R$165</definedName>
    <definedName name="PPMSA">Calculator!#REF!</definedName>
    <definedName name="_xlnm.Print_Area" localSheetId="0">Calculator!$A$1:$J$154</definedName>
    <definedName name="Print_Area_MI" localSheetId="0">Calculator!$A$3:$R$141</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79017" iterate="1" iterateCount="1000" iterateDelta="0.1"/>
</workbook>
</file>

<file path=xl/calcChain.xml><?xml version="1.0" encoding="utf-8"?>
<calcChain xmlns="http://schemas.openxmlformats.org/spreadsheetml/2006/main">
  <c r="C18" i="1" l="1"/>
  <c r="A95" i="1" l="1"/>
  <c r="A107" i="1" s="1"/>
  <c r="A119" i="1" s="1"/>
  <c r="A131" i="1" s="1"/>
  <c r="H59" i="1"/>
  <c r="A138" i="1"/>
  <c r="A137" i="1"/>
  <c r="A136" i="1"/>
  <c r="A134" i="1"/>
  <c r="A133" i="1"/>
  <c r="A126" i="1"/>
  <c r="A125" i="1"/>
  <c r="A124" i="1"/>
  <c r="A122" i="1"/>
  <c r="A121" i="1"/>
  <c r="A114" i="1"/>
  <c r="A113" i="1"/>
  <c r="A112" i="1"/>
  <c r="A110" i="1"/>
  <c r="A109" i="1"/>
  <c r="A102" i="1"/>
  <c r="A101" i="1"/>
  <c r="A100" i="1"/>
  <c r="A98" i="1"/>
  <c r="A97" i="1"/>
  <c r="A59" i="1"/>
  <c r="A58" i="1"/>
  <c r="A57" i="1"/>
  <c r="A55" i="1"/>
  <c r="A54" i="1"/>
  <c r="J68" i="1"/>
  <c r="I68" i="1"/>
  <c r="H68" i="1"/>
  <c r="D68" i="1"/>
  <c r="E68" i="1"/>
  <c r="G80" i="1"/>
  <c r="H80" i="1"/>
  <c r="F80" i="1"/>
  <c r="E80" i="1"/>
  <c r="D80" i="1"/>
  <c r="H145" i="1"/>
  <c r="F145" i="1"/>
  <c r="G145" i="1"/>
  <c r="E145" i="1"/>
  <c r="E149" i="1" s="1"/>
  <c r="C145" i="1"/>
  <c r="D145" i="1"/>
  <c r="D151" i="1" s="1"/>
  <c r="J145" i="1"/>
  <c r="J152" i="1" s="1"/>
  <c r="I145" i="1"/>
  <c r="B165" i="1"/>
  <c r="C12" i="2"/>
  <c r="D12" i="2"/>
  <c r="J12" i="2"/>
  <c r="I12" i="2"/>
  <c r="H12" i="2"/>
  <c r="G12" i="2"/>
  <c r="J11" i="2"/>
  <c r="I11" i="2"/>
  <c r="H11" i="2"/>
  <c r="G11" i="2"/>
  <c r="J10" i="2"/>
  <c r="I10" i="2"/>
  <c r="H10" i="2"/>
  <c r="G10" i="2"/>
  <c r="J9" i="2"/>
  <c r="I9" i="2"/>
  <c r="H9" i="2"/>
  <c r="G9" i="2"/>
  <c r="J8" i="2"/>
  <c r="I8" i="2"/>
  <c r="H8" i="2"/>
  <c r="G8" i="2"/>
  <c r="J7" i="2"/>
  <c r="I7" i="2"/>
  <c r="H7" i="2"/>
  <c r="G7" i="2"/>
  <c r="E12" i="2"/>
  <c r="E11" i="2"/>
  <c r="D11" i="2"/>
  <c r="C11" i="2"/>
  <c r="E10" i="2"/>
  <c r="D10" i="2"/>
  <c r="C10" i="2"/>
  <c r="E9" i="2"/>
  <c r="D9" i="2"/>
  <c r="C9" i="2"/>
  <c r="E8" i="2"/>
  <c r="D8" i="2"/>
  <c r="C8" i="2"/>
  <c r="C7" i="2"/>
  <c r="D7" i="2"/>
  <c r="E7" i="2"/>
  <c r="A142" i="1"/>
  <c r="B69" i="1"/>
  <c r="B70" i="1"/>
  <c r="F70" i="1" s="1"/>
  <c r="B71" i="1"/>
  <c r="B72" i="1"/>
  <c r="L39" i="1"/>
  <c r="F39" i="1"/>
  <c r="F44" i="1" s="1"/>
  <c r="L36" i="1"/>
  <c r="L37" i="1"/>
  <c r="L40" i="1"/>
  <c r="L41" i="1"/>
  <c r="J74" i="1"/>
  <c r="I74" i="1"/>
  <c r="H74" i="1"/>
  <c r="E74" i="1"/>
  <c r="D74" i="1"/>
  <c r="F72" i="1"/>
  <c r="B162" i="1"/>
  <c r="B164" i="1"/>
  <c r="B163" i="1"/>
  <c r="B160" i="1"/>
  <c r="B159" i="1"/>
  <c r="I159" i="1" s="1"/>
  <c r="C44" i="1"/>
  <c r="D41" i="1"/>
  <c r="D40" i="1"/>
  <c r="D42" i="1"/>
  <c r="D38" i="1"/>
  <c r="D37" i="1"/>
  <c r="C69" i="1"/>
  <c r="G69" i="1"/>
  <c r="C70" i="1"/>
  <c r="G70" i="1"/>
  <c r="C71" i="1"/>
  <c r="G71" i="1"/>
  <c r="C72" i="1"/>
  <c r="G72" i="1"/>
  <c r="D73" i="1"/>
  <c r="E73" i="1"/>
  <c r="H73" i="1"/>
  <c r="I73" i="1"/>
  <c r="J73" i="1"/>
  <c r="D35" i="1"/>
  <c r="D34" i="1"/>
  <c r="C36" i="1"/>
  <c r="F43" i="1"/>
  <c r="C151" i="1"/>
  <c r="B73" i="1" l="1"/>
  <c r="H165" i="1"/>
  <c r="B139" i="1" s="1"/>
  <c r="D139" i="1" s="1"/>
  <c r="B74" i="1"/>
  <c r="F74" i="1"/>
  <c r="F162" i="1"/>
  <c r="H160" i="1"/>
  <c r="B134" i="1" s="1"/>
  <c r="D134" i="1" s="1"/>
  <c r="G165" i="1"/>
  <c r="G149" i="1"/>
  <c r="J149" i="1"/>
  <c r="E165" i="1"/>
  <c r="B115" i="1" s="1"/>
  <c r="D115" i="1" s="1"/>
  <c r="E163" i="1"/>
  <c r="B113" i="1" s="1"/>
  <c r="D113" i="1" s="1"/>
  <c r="D159" i="1"/>
  <c r="F165" i="1"/>
  <c r="A47" i="1"/>
  <c r="A75" i="1" s="1"/>
  <c r="C159" i="1"/>
  <c r="H163" i="1"/>
  <c r="B137" i="1" s="1"/>
  <c r="D137" i="1" s="1"/>
  <c r="H159" i="1"/>
  <c r="B133" i="1" s="1"/>
  <c r="D133" i="1" s="1"/>
  <c r="H151" i="1"/>
  <c r="H149" i="1"/>
  <c r="C152" i="1"/>
  <c r="J162" i="1"/>
  <c r="J150" i="1"/>
  <c r="J164" i="1"/>
  <c r="H152" i="1"/>
  <c r="C162" i="1"/>
  <c r="C149" i="1"/>
  <c r="F150" i="1"/>
  <c r="J160" i="1"/>
  <c r="E159" i="1"/>
  <c r="B109" i="1" s="1"/>
  <c r="C109" i="1" s="1"/>
  <c r="H150" i="1"/>
  <c r="F152" i="1"/>
  <c r="H164" i="1"/>
  <c r="B138" i="1" s="1"/>
  <c r="C138" i="1" s="1"/>
  <c r="G163" i="1"/>
  <c r="J163" i="1"/>
  <c r="I163" i="1"/>
  <c r="E162" i="1"/>
  <c r="B112" i="1" s="1"/>
  <c r="D112" i="1" s="1"/>
  <c r="F71" i="1"/>
  <c r="F69" i="1"/>
  <c r="C139" i="1"/>
  <c r="C150" i="1"/>
  <c r="I151" i="1"/>
  <c r="I160" i="1"/>
  <c r="I152" i="1"/>
  <c r="H162" i="1"/>
  <c r="B136" i="1" s="1"/>
  <c r="C136" i="1" s="1"/>
  <c r="C165" i="1"/>
  <c r="J165" i="1"/>
  <c r="J151" i="1"/>
  <c r="C163" i="1"/>
  <c r="E150" i="1"/>
  <c r="E151" i="1"/>
  <c r="E152" i="1"/>
  <c r="I149" i="1"/>
  <c r="I164" i="1"/>
  <c r="E164" i="1"/>
  <c r="B114" i="1" s="1"/>
  <c r="D114" i="1" s="1"/>
  <c r="G164" i="1"/>
  <c r="C164" i="1"/>
  <c r="C160" i="1"/>
  <c r="E160" i="1"/>
  <c r="B110" i="1" s="1"/>
  <c r="J159" i="1"/>
  <c r="B45" i="1"/>
  <c r="G44" i="1"/>
  <c r="H44" i="1"/>
  <c r="B46" i="1" s="1"/>
  <c r="B127" i="1"/>
  <c r="D164" i="1"/>
  <c r="E138" i="1"/>
  <c r="F138" i="1"/>
  <c r="F84" i="1"/>
  <c r="C115" i="1"/>
  <c r="H84" i="1"/>
  <c r="D165" i="1"/>
  <c r="D152" i="1"/>
  <c r="D163" i="1"/>
  <c r="D150" i="1"/>
  <c r="D162" i="1"/>
  <c r="B100" i="1" s="1"/>
  <c r="D149" i="1"/>
  <c r="D160" i="1"/>
  <c r="G152" i="1"/>
  <c r="G160" i="1"/>
  <c r="G150" i="1"/>
  <c r="G159" i="1"/>
  <c r="G162" i="1"/>
  <c r="G151" i="1"/>
  <c r="F159" i="1"/>
  <c r="F164" i="1"/>
  <c r="I150" i="1"/>
  <c r="F149" i="1"/>
  <c r="I165" i="1"/>
  <c r="F163" i="1"/>
  <c r="F160" i="1"/>
  <c r="I162" i="1"/>
  <c r="F151" i="1"/>
  <c r="H54" i="1"/>
  <c r="H55" i="1"/>
  <c r="H57" i="1"/>
  <c r="H58" i="1"/>
  <c r="C133" i="1" l="1"/>
  <c r="F73" i="1"/>
  <c r="B124" i="1"/>
  <c r="D124" i="1" s="1"/>
  <c r="C134" i="1"/>
  <c r="B126" i="1"/>
  <c r="C126" i="1" s="1"/>
  <c r="C137" i="1"/>
  <c r="B97" i="1"/>
  <c r="D97" i="1" s="1"/>
  <c r="D136" i="1"/>
  <c r="C113" i="1"/>
  <c r="C114" i="1"/>
  <c r="D109" i="1"/>
  <c r="B102" i="1"/>
  <c r="C102" i="1" s="1"/>
  <c r="D138" i="1"/>
  <c r="G138" i="1" s="1"/>
  <c r="H138" i="1" s="1"/>
  <c r="O59" i="1" s="1"/>
  <c r="C112" i="1"/>
  <c r="B103" i="1"/>
  <c r="C103" i="1" s="1"/>
  <c r="B125" i="1"/>
  <c r="C125" i="1" s="1"/>
  <c r="B101" i="1"/>
  <c r="C101" i="1" s="1"/>
  <c r="B121" i="1"/>
  <c r="C121" i="1" s="1"/>
  <c r="D110" i="1"/>
  <c r="C110" i="1"/>
  <c r="B98" i="1"/>
  <c r="D98" i="1" s="1"/>
  <c r="E133" i="1"/>
  <c r="D84" i="1"/>
  <c r="F133" i="1"/>
  <c r="D100" i="1"/>
  <c r="C100" i="1"/>
  <c r="G84" i="1"/>
  <c r="F137" i="1"/>
  <c r="E137" i="1"/>
  <c r="F136" i="1"/>
  <c r="E136" i="1"/>
  <c r="C97" i="1"/>
  <c r="F134" i="1"/>
  <c r="E84" i="1"/>
  <c r="E134" i="1"/>
  <c r="B122" i="1"/>
  <c r="C127" i="1"/>
  <c r="D127" i="1"/>
  <c r="C124" i="1" l="1"/>
  <c r="D126" i="1"/>
  <c r="D125" i="1"/>
  <c r="C98" i="1"/>
  <c r="D103" i="1"/>
  <c r="D102" i="1"/>
  <c r="D121" i="1"/>
  <c r="D101" i="1"/>
  <c r="G136" i="1"/>
  <c r="H136" i="1" s="1"/>
  <c r="O57" i="1" s="1"/>
  <c r="G133" i="1"/>
  <c r="H133" i="1" s="1"/>
  <c r="O54" i="1" s="1"/>
  <c r="G137" i="1"/>
  <c r="H137" i="1" s="1"/>
  <c r="O58" i="1" s="1"/>
  <c r="G134" i="1"/>
  <c r="H134" i="1" s="1"/>
  <c r="O55" i="1" s="1"/>
  <c r="C84" i="1"/>
  <c r="D122" i="1"/>
  <c r="C122" i="1"/>
  <c r="B54" i="1"/>
  <c r="E97" i="1" s="1"/>
  <c r="B55" i="1"/>
  <c r="F98" i="1" s="1"/>
  <c r="B57" i="1"/>
  <c r="F81" i="1" s="1"/>
  <c r="B58" i="1"/>
  <c r="E101" i="1" s="1"/>
  <c r="B59" i="1"/>
  <c r="E102" i="1" s="1"/>
  <c r="F101" i="1" l="1"/>
  <c r="G101" i="1" s="1"/>
  <c r="H101" i="1" s="1"/>
  <c r="L58" i="1" s="1"/>
  <c r="G81" i="1"/>
  <c r="E98" i="1"/>
  <c r="G98" i="1" s="1"/>
  <c r="H98" i="1" s="1"/>
  <c r="L55" i="1" s="1"/>
  <c r="E81" i="1"/>
  <c r="F102" i="1"/>
  <c r="G102" i="1" s="1"/>
  <c r="H102" i="1" s="1"/>
  <c r="L59" i="1" s="1"/>
  <c r="F100" i="1"/>
  <c r="F97" i="1"/>
  <c r="G97" i="1" s="1"/>
  <c r="H97" i="1" s="1"/>
  <c r="L54" i="1" s="1"/>
  <c r="H81" i="1"/>
  <c r="D81" i="1"/>
  <c r="E100" i="1"/>
  <c r="G100" i="1" l="1"/>
  <c r="H100" i="1" s="1"/>
  <c r="L57" i="1" s="1"/>
  <c r="C81" i="1"/>
  <c r="D54" i="1"/>
  <c r="F109" i="1" s="1"/>
  <c r="D55" i="1"/>
  <c r="E82" i="1" s="1"/>
  <c r="D57" i="1"/>
  <c r="E112" i="1" s="1"/>
  <c r="D58" i="1"/>
  <c r="F113" i="1" s="1"/>
  <c r="D59" i="1"/>
  <c r="E114" i="1" s="1"/>
  <c r="F54" i="1"/>
  <c r="F121" i="1" s="1"/>
  <c r="F55" i="1"/>
  <c r="E122" i="1" s="1"/>
  <c r="F57" i="1"/>
  <c r="F124" i="1" s="1"/>
  <c r="F58" i="1"/>
  <c r="F125" i="1" s="1"/>
  <c r="F59" i="1"/>
  <c r="F126" i="1" s="1"/>
  <c r="F83" i="1" l="1"/>
  <c r="E83" i="1"/>
  <c r="E86" i="1" s="1"/>
  <c r="F122" i="1"/>
  <c r="G122" i="1" s="1"/>
  <c r="H122" i="1" s="1"/>
  <c r="N55" i="1" s="1"/>
  <c r="G83" i="1"/>
  <c r="E113" i="1"/>
  <c r="G113" i="1" s="1"/>
  <c r="H113" i="1" s="1"/>
  <c r="M58" i="1" s="1"/>
  <c r="G82" i="1"/>
  <c r="F82" i="1"/>
  <c r="F86" i="1" s="1"/>
  <c r="E125" i="1"/>
  <c r="G125" i="1" s="1"/>
  <c r="H125" i="1" s="1"/>
  <c r="N58" i="1" s="1"/>
  <c r="F112" i="1"/>
  <c r="G112" i="1" s="1"/>
  <c r="H112" i="1" s="1"/>
  <c r="M57" i="1" s="1"/>
  <c r="D82" i="1"/>
  <c r="F114" i="1"/>
  <c r="G114" i="1" s="1"/>
  <c r="H114" i="1" s="1"/>
  <c r="M59" i="1" s="1"/>
  <c r="H82" i="1"/>
  <c r="F110" i="1"/>
  <c r="E110" i="1"/>
  <c r="E109" i="1"/>
  <c r="G109" i="1" s="1"/>
  <c r="H109" i="1" s="1"/>
  <c r="M54" i="1" s="1"/>
  <c r="H83" i="1"/>
  <c r="D83" i="1"/>
  <c r="E126" i="1"/>
  <c r="G126" i="1" s="1"/>
  <c r="H126" i="1" s="1"/>
  <c r="N59" i="1" s="1"/>
  <c r="E124" i="1"/>
  <c r="G124" i="1" s="1"/>
  <c r="H124" i="1" s="1"/>
  <c r="N57" i="1" s="1"/>
  <c r="E121" i="1"/>
  <c r="G121" i="1" s="1"/>
  <c r="H121" i="1" s="1"/>
  <c r="N54" i="1" s="1"/>
  <c r="H86" i="1" l="1"/>
  <c r="G86" i="1"/>
  <c r="C82" i="1"/>
  <c r="G110" i="1"/>
  <c r="H110" i="1" s="1"/>
  <c r="M55" i="1" s="1"/>
  <c r="C83" i="1"/>
  <c r="D86" i="1"/>
  <c r="C86" i="1" l="1"/>
  <c r="B60" i="1"/>
  <c r="D60" i="1"/>
  <c r="F60" i="1"/>
  <c r="H60" i="1"/>
  <c r="L60" i="1"/>
  <c r="M60" i="1"/>
  <c r="N60" i="1"/>
  <c r="O60" i="1"/>
  <c r="E103" i="1"/>
  <c r="F103" i="1"/>
  <c r="G103" i="1"/>
  <c r="H103" i="1"/>
  <c r="E115" i="1"/>
  <c r="F115" i="1"/>
  <c r="G115" i="1"/>
  <c r="H115" i="1"/>
  <c r="E127" i="1"/>
  <c r="F127" i="1"/>
  <c r="G127" i="1"/>
  <c r="H127" i="1"/>
  <c r="E139" i="1"/>
  <c r="F139" i="1"/>
  <c r="G139" i="1"/>
  <c r="H139" i="1"/>
</calcChain>
</file>

<file path=xl/sharedStrings.xml><?xml version="1.0" encoding="utf-8"?>
<sst xmlns="http://schemas.openxmlformats.org/spreadsheetml/2006/main" count="180" uniqueCount="127">
  <si>
    <t>DATE:</t>
  </si>
  <si>
    <t>PROJECT:</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</si>
  <si>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</si>
  <si>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</si>
  <si>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</si>
  <si>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</si>
  <si>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</si>
  <si>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</si>
  <si>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</si>
  <si>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</si>
  <si>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</si>
  <si>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</si>
  <si>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</si>
  <si>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</si>
  <si>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</si>
  <si>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</si>
  <si>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</si>
  <si>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</si>
  <si>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</si>
  <si>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FINANCIAL INFORMATION</t>
  </si>
  <si>
    <t>MODERATE</t>
  </si>
  <si>
    <t>PMI</t>
  </si>
  <si>
    <t>LOW</t>
  </si>
  <si>
    <t>PROPERTY TAX RATE</t>
  </si>
  <si>
    <t>EQUALIZATION RATIO</t>
  </si>
  <si>
    <t>TIER 1</t>
  </si>
  <si>
    <t>TIER 2</t>
  </si>
  <si>
    <t/>
  </si>
  <si>
    <t>TIER 3</t>
  </si>
  <si>
    <t>INCOME LIMITS FOR QUALIFYING HOUSEHOLDS</t>
  </si>
  <si>
    <t>1</t>
  </si>
  <si>
    <t>7</t>
  </si>
  <si>
    <t>TIER 4</t>
  </si>
  <si>
    <t>BREAKDOWN OF TOTAL HOUSING EXPENSE</t>
  </si>
  <si>
    <t>TOTAL</t>
  </si>
  <si>
    <t>1 BEDROOM</t>
  </si>
  <si>
    <t>% USED</t>
  </si>
  <si>
    <t>FAMILY SIZE :</t>
  </si>
  <si>
    <t>MEDIAN INCOME:</t>
  </si>
  <si>
    <t>MEDIAN INCOME SOURCE:</t>
  </si>
  <si>
    <t>DOWN PAYMENT</t>
  </si>
  <si>
    <t>PRIVATE MORT INS (PMI)</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</si>
  <si>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</si>
  <si>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</si>
  <si>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</si>
  <si>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</si>
  <si>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</si>
  <si>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</si>
  <si>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</si>
  <si>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</si>
  <si>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</si>
  <si>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</si>
  <si>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</si>
  <si>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</si>
  <si>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</si>
  <si>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</si>
  <si>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</si>
  <si>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</si>
  <si>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</si>
  <si>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</si>
  <si>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</si>
  <si>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</si>
  <si>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</si>
  <si>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</si>
  <si>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</si>
  <si>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</si>
  <si>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No. OF 4 BEDROOMS</t>
  </si>
  <si>
    <t>ESTIMATED
PRICE</t>
  </si>
  <si>
    <t>AFFORDABLE UNITS</t>
  </si>
  <si>
    <t>Atlantic, Cape May, Cumberland, Salem</t>
  </si>
  <si>
    <t>GENERAL AFFORDABLE HOUSING UNIT SALES PRICE CALCULATIONS</t>
  </si>
  <si>
    <t>(Rate per $100 of assessed value)</t>
  </si>
  <si>
    <t>VERY LOW</t>
  </si>
  <si>
    <t xml:space="preserve">LOW  </t>
  </si>
  <si>
    <t xml:space="preserve">MOD  </t>
  </si>
  <si>
    <t>AFFORDABLE UNIT PRICING STRATEGY</t>
  </si>
  <si>
    <t>4 BR</t>
  </si>
  <si>
    <t>3 BR</t>
  </si>
  <si>
    <t>2 BR</t>
  </si>
  <si>
    <t>1 BR</t>
  </si>
  <si>
    <t>Mod
Provided</t>
  </si>
  <si>
    <t>Low
Provided</t>
  </si>
  <si>
    <t>Mod
Required</t>
  </si>
  <si>
    <t>Low
Required</t>
  </si>
  <si>
    <t>(Usually a number between 50.00 and 150.00)</t>
  </si>
  <si>
    <t>PRICING AND BEDROOM DISTRIBUTION DETAIL FOR AFFORDABLE UNITS</t>
  </si>
  <si>
    <t>2 BEDROOM</t>
  </si>
  <si>
    <t>4 BEDROOM</t>
  </si>
  <si>
    <t>3 BEDROOM</t>
  </si>
  <si>
    <t>(Maximum permitted)</t>
  </si>
  <si>
    <t>ANNUAL MORTGAGE RATE</t>
  </si>
  <si>
    <t>Years (0 Points)</t>
  </si>
  <si>
    <t>&lt;--Total Affordable Units--&gt;</t>
  </si>
  <si>
    <t xml:space="preserve"> # Of Units</t>
  </si>
  <si>
    <t>Priced at</t>
  </si>
  <si>
    <t>% Of Median
Income</t>
  </si>
  <si>
    <t>CALCULATION OF MAXIMUM SALES PRICES</t>
  </si>
  <si>
    <t>BY BEDROOM SIZE AND CATEGORY</t>
  </si>
  <si>
    <t>Make Entries in Yellow Boxes</t>
  </si>
  <si>
    <t>Adjacent Green and Blue Boxes Must Match</t>
  </si>
  <si>
    <t>Adjacent Orange and Blue Boxes Must Match</t>
  </si>
  <si>
    <t>WORKFORCE</t>
  </si>
  <si>
    <t>Workforce</t>
  </si>
  <si>
    <t>FOR PRICING NEWLY CONSTRUCTED UNITS</t>
  </si>
  <si>
    <t>Range of Affordability for Unit Type</t>
  </si>
  <si>
    <t>PROPERTY
INSURANCE</t>
  </si>
  <si>
    <t>PROPERTY
TAX</t>
  </si>
  <si>
    <t>PRINCIPAL
&amp;INTEREST</t>
  </si>
  <si>
    <t>MAXIMUM
MORTGAGE</t>
  </si>
  <si>
    <t>ASSOC
DUES</t>
  </si>
  <si>
    <t>% of Median
Unit Priced at</t>
  </si>
  <si>
    <t>NEW JERSEY COUNCIL ON AFFORDABLE HOUSING</t>
  </si>
  <si>
    <t>TOTAL GROSS SALES REVENUES FROM AFFORDABLE UNITS</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</si>
  <si>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</si>
  <si>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</si>
  <si>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r>
      <t xml:space="preserve">1 BEDROOM UNITS  </t>
    </r>
    <r>
      <rPr>
        <sz val="12"/>
        <rFont val="Arial"/>
        <family val="2"/>
      </rPr>
      <t>(1.5 PERSON HOUSEHOLD)</t>
    </r>
  </si>
  <si>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</si>
  <si>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</si>
  <si>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</si>
  <si>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</si>
  <si>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FreddieMac 30-Year Fixed-Rate Mortgage rate (formerly Federal Reserve H15 rate). Enter rate from most recent year and month</t>
  </si>
  <si>
    <t>This document is a tool to assist with the pricing calculation. Please consult UHAC, Fair Housing Settlement Agreement,
and municipal requirements as there may be additional requirements affecting the pricing calculation.</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</si>
  <si>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</si>
  <si>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Updated April, 2018 by Affordable Housing Professionals of New Jersey (AHPNJ)</t>
  </si>
  <si>
    <t>2018 Income Limit ESTIMATED</t>
  </si>
  <si>
    <t>2018 COAH Regional Income Limits
(Updated by AHPNJ)</t>
  </si>
  <si>
    <t>UPDATED BY AHPNJ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</si>
</sst>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1" x14ac:knownFonts="1">
    <font>
      <sz val="12"/>
      <name val="Arial"/>
    </font>
    <font>
      <sz val="12"/>
      <name val="Arial"/>
      <family val="2"/>
    </font>
    <font>
      <u/>
      <sz val="10.45"/>
      <color indexed="12"/>
      <name val="Arial"/>
      <family val="2"/>
    </font>
    <font>
      <sz val="10"/>
      <name val="Arial"/>
      <family val="2"/>
    </font>
    <font>
      <b/>
      <sz val="10"/>
      <name val="Arial"/>
      <family val="2"/>
    </font>
    <font>
      <sz val="12"/>
      <color indexed="10"/>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sz val="14"/>
      <color indexed="10"/>
      <name val="Arial"/>
      <family val="2"/>
    </font>
    <font>
      <b/>
      <u/>
      <sz val="16"/>
      <name val="Arial"/>
      <family val="2"/>
    </font>
    <font>
      <b/>
      <u/>
      <sz val="14"/>
      <color indexed="12"/>
      <name val="Arial"/>
      <family val="2"/>
    </font>
    <font>
      <u/>
      <sz val="12"/>
      <color indexed="12"/>
      <name val="Arial"/>
      <family val="2"/>
    </font>
    <font>
      <b/>
      <u/>
      <sz val="14"/>
      <name val="Arial"/>
      <family val="2"/>
    </font>
    <font>
      <b/>
      <sz val="14"/>
      <color indexed="10"/>
      <name val="Arial"/>
      <family val="2"/>
    </font>
    <font>
      <b/>
      <sz val="11"/>
      <name val="Arial"/>
      <family val="2"/>
    </font>
    <font>
      <b/>
      <sz val="16"/>
      <color indexed="10"/>
      <name val="Arial"/>
      <family val="2"/>
    </font>
    <font>
      <b/>
      <sz val="12"/>
      <name val="Arial"/>
      <family val="2"/>
    </font>
    <font>
      <b/>
      <sz val="13"/>
      <name val="Arial"/>
      <family val="2"/>
    </font>
    <font>
      <sz val="13"/>
      <name val="Arial"/>
      <family val="2"/>
    </font>
    <font>
      <b/>
      <sz val="14"/>
      <color indexed="17"/>
      <name val="Arial"/>
      <family val="2"/>
    </font>
    <font>
      <sz val="14"/>
      <color indexed="9"/>
      <name val="Arial"/>
      <family val="2"/>
    </font>
    <font>
      <b/>
      <sz val="14"/>
      <color indexed="9"/>
      <name val="Arial"/>
      <family val="2"/>
    </font>
    <font>
      <sz val="12"/>
      <color indexed="9"/>
      <name val="Arial"/>
      <family val="2"/>
    </font>
    <font>
      <b/>
      <i/>
      <sz val="13"/>
      <color rgb="FFFFFF00"/>
      <name val="Arial Rounded MT Bold"/>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64"/>
      </top>
      <bottom/>
      <diagonal/>
    </border>
    <border>
      <left style="thin">
        <color indexed="22"/>
      </left>
      <right/>
      <top style="thin">
        <color indexed="8"/>
      </top>
      <bottom style="thin">
        <color indexed="8"/>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17">
    <xf numFmtId="0" fontId="0" fillId="0" borderId="0" xfId="0"/>
    <xf numFmtId="0" fontId="3" fillId="0" borderId="0" xfId="0" applyFont="1" applyBorder="1" applyAlignment="1" applyProtection="1">
      <protection hidden="1"/>
    </xf>
    <xf numFmtId="0" fontId="4" fillId="0" borderId="0" xfId="0" applyFont="1" applyBorder="1" applyAlignment="1" applyProtection="1">
      <alignment horizontal="center"/>
      <protection hidden="1"/>
    </xf>
    <xf numFmtId="0" fontId="3" fillId="0" borderId="0" xfId="0" applyFont="1" applyBorder="1" applyProtection="1">
      <protection hidden="1"/>
    </xf>
    <xf numFmtId="0" fontId="0" fillId="0" borderId="0" xfId="0" applyBorder="1"/>
    <xf numFmtId="49" fontId="4" fillId="0" borderId="0" xfId="0" applyNumberFormat="1" applyFont="1" applyBorder="1" applyAlignment="1" applyProtection="1">
      <protection hidden="1"/>
    </xf>
    <xf numFmtId="0" fontId="4" fillId="0" borderId="0" xfId="0" applyFont="1" applyBorder="1" applyProtection="1">
      <protection hidden="1"/>
    </xf>
    <xf numFmtId="49" fontId="3" fillId="0" borderId="0" xfId="0" applyNumberFormat="1" applyFont="1" applyBorder="1" applyAlignment="1" applyProtection="1">
      <protection hidden="1"/>
    </xf>
    <xf numFmtId="49" fontId="4" fillId="0" borderId="0" xfId="0" applyNumberFormat="1" applyFont="1" applyBorder="1" applyAlignment="1" applyProtection="1">
      <alignment horizontal="left"/>
      <protection hidden="1"/>
    </xf>
    <xf numFmtId="6" fontId="1" fillId="0" borderId="0" xfId="0" applyNumberFormat="1" applyFont="1" applyBorder="1" applyAlignment="1">
      <alignment horizontal="center" vertical="center"/>
    </xf>
    <xf numFmtId="165" fontId="5" fillId="0" borderId="0" xfId="0" applyNumberFormat="1" applyFont="1" applyAlignment="1">
      <alignment horizontal="center"/>
    </xf>
    <xf numFmtId="1" fontId="0" fillId="0" borderId="0" xfId="0" applyNumberFormat="1"/>
    <xf numFmtId="0" fontId="7" fillId="0" borderId="1" xfId="0" applyFont="1" applyBorder="1" applyProtection="1">
      <protection hidden="1"/>
    </xf>
    <xf numFmtId="0" fontId="8" fillId="0" borderId="5" xfId="0"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2" xfId="0" applyFont="1" applyBorder="1" applyProtection="1">
      <protection hidden="1"/>
    </xf>
    <xf numFmtId="0" fontId="8" fillId="0" borderId="1" xfId="0" applyFont="1" applyBorder="1" applyProtection="1">
      <protection hidden="1"/>
    </xf>
    <xf numFmtId="0" fontId="10" fillId="0" borderId="1" xfId="0" applyFont="1" applyBorder="1" applyProtection="1">
      <protection hidden="1"/>
    </xf>
    <xf numFmtId="6" fontId="12" fillId="0" borderId="0" xfId="0" applyNumberFormat="1" applyFont="1" applyBorder="1" applyAlignment="1" applyProtection="1">
      <alignment horizontal="center" vertical="center"/>
      <protection hidden="1"/>
    </xf>
    <xf numFmtId="0" fontId="13" fillId="0" borderId="1" xfId="0" applyFont="1" applyBorder="1" applyAlignment="1" applyProtection="1">
      <alignment horizontal="right"/>
      <protection hidden="1"/>
    </xf>
    <xf numFmtId="49" fontId="10" fillId="2" borderId="1" xfId="0" applyNumberFormat="1" applyFont="1" applyFill="1" applyBorder="1" applyProtection="1">
      <protection locked="0" hidden="1"/>
    </xf>
    <xf numFmtId="49" fontId="10" fillId="0" borderId="1" xfId="0" applyNumberFormat="1" applyFont="1" applyBorder="1" applyProtection="1">
      <protection hidden="1"/>
    </xf>
    <xf numFmtId="0" fontId="10" fillId="0" borderId="1" xfId="0" applyFont="1" applyBorder="1" applyAlignment="1" applyProtection="1">
      <alignment horizontal="right"/>
      <protection hidden="1"/>
    </xf>
    <xf numFmtId="0" fontId="10" fillId="0" borderId="1" xfId="0" applyFont="1" applyFill="1" applyBorder="1" applyAlignment="1" applyProtection="1">
      <alignment horizontal="center"/>
      <protection hidden="1"/>
    </xf>
    <xf numFmtId="0" fontId="10" fillId="0" borderId="1" xfId="0" applyFont="1" applyFill="1" applyBorder="1" applyProtection="1">
      <protection hidden="1"/>
    </xf>
    <xf numFmtId="49" fontId="10" fillId="0" borderId="1" xfId="0" applyNumberFormat="1" applyFont="1" applyFill="1" applyBorder="1" applyAlignment="1" applyProtection="1">
      <alignment horizontal="center"/>
      <protection hidden="1"/>
    </xf>
    <xf numFmtId="0" fontId="15" fillId="0" borderId="1" xfId="0" applyFont="1" applyBorder="1" applyProtection="1">
      <protection hidden="1"/>
    </xf>
    <xf numFmtId="10" fontId="10" fillId="2" borderId="1" xfId="0" applyNumberFormat="1" applyFont="1" applyFill="1" applyBorder="1" applyProtection="1">
      <protection locked="0" hidden="1"/>
    </xf>
    <xf numFmtId="5" fontId="10" fillId="2" borderId="1" xfId="0" applyNumberFormat="1" applyFont="1" applyFill="1" applyBorder="1" applyProtection="1">
      <protection locked="0" hidden="1"/>
    </xf>
    <xf numFmtId="7" fontId="10" fillId="2" borderId="1" xfId="0" applyNumberFormat="1" applyFont="1" applyFill="1" applyBorder="1" applyProtection="1">
      <protection locked="0" hidden="1"/>
    </xf>
    <xf numFmtId="0" fontId="10" fillId="3" borderId="1" xfId="0" applyFont="1" applyFill="1" applyBorder="1" applyProtection="1">
      <protection hidden="1"/>
    </xf>
    <xf numFmtId="49" fontId="10" fillId="0" borderId="1" xfId="0" applyNumberFormat="1" applyFont="1" applyBorder="1" applyAlignment="1" applyProtection="1">
      <alignment horizontal="left"/>
      <protection hidden="1"/>
    </xf>
    <xf numFmtId="9" fontId="10" fillId="3" borderId="1" xfId="0" applyNumberFormat="1" applyFont="1" applyFill="1" applyBorder="1" applyProtection="1">
      <protection hidden="1"/>
    </xf>
    <xf numFmtId="7" fontId="10" fillId="3" borderId="1" xfId="0" applyNumberFormat="1" applyFont="1" applyFill="1" applyBorder="1" applyProtection="1">
      <protection hidden="1"/>
    </xf>
    <xf numFmtId="0" fontId="8" fillId="0" borderId="9" xfId="0" applyFont="1" applyBorder="1" applyProtection="1">
      <protection hidden="1"/>
    </xf>
    <xf numFmtId="0" fontId="19" fillId="0" borderId="1" xfId="0" applyFont="1" applyBorder="1" applyAlignment="1" applyProtection="1">
      <alignment horizontal="center"/>
      <protection hidden="1"/>
    </xf>
    <xf numFmtId="0" fontId="10" fillId="0" borderId="9" xfId="0" applyFont="1" applyBorder="1" applyProtection="1">
      <protection hidden="1"/>
    </xf>
    <xf numFmtId="0" fontId="8" fillId="0" borderId="11" xfId="0" applyFont="1" applyBorder="1" applyProtection="1">
      <protection hidden="1"/>
    </xf>
    <xf numFmtId="0" fontId="10" fillId="2" borderId="1" xfId="0" applyFont="1" applyFill="1" applyBorder="1" applyProtection="1">
      <protection locked="0" hidden="1"/>
    </xf>
    <xf numFmtId="0" fontId="15" fillId="0" borderId="9" xfId="0" applyFont="1" applyBorder="1" applyProtection="1">
      <protection hidden="1"/>
    </xf>
    <xf numFmtId="0" fontId="8" fillId="0" borderId="12" xfId="0" applyFont="1" applyBorder="1" applyProtection="1">
      <protection hidden="1"/>
    </xf>
    <xf numFmtId="5" fontId="13" fillId="0" borderId="1" xfId="0" applyNumberFormat="1" applyFont="1" applyBorder="1" applyAlignment="1" applyProtection="1">
      <alignment horizontal="center"/>
      <protection hidden="1"/>
    </xf>
    <xf numFmtId="5" fontId="13" fillId="0" borderId="12" xfId="0" applyNumberFormat="1" applyFont="1" applyBorder="1" applyAlignment="1" applyProtection="1">
      <alignment horizontal="right"/>
      <protection hidden="1"/>
    </xf>
    <xf numFmtId="5" fontId="13" fillId="0" borderId="1" xfId="0" applyNumberFormat="1" applyFont="1" applyBorder="1" applyProtection="1">
      <protection hidden="1"/>
    </xf>
    <xf numFmtId="164" fontId="10" fillId="0" borderId="1" xfId="0" applyNumberFormat="1" applyFont="1" applyFill="1" applyBorder="1" applyProtection="1">
      <protection hidden="1"/>
    </xf>
    <xf numFmtId="5" fontId="13" fillId="0" borderId="12" xfId="0" applyNumberFormat="1" applyFont="1" applyBorder="1" applyProtection="1">
      <protection hidden="1"/>
    </xf>
    <xf numFmtId="164" fontId="14" fillId="0" borderId="4" xfId="0" applyNumberFormat="1" applyFont="1" applyBorder="1" applyProtection="1">
      <protection hidden="1"/>
    </xf>
    <xf numFmtId="164" fontId="10" fillId="2" borderId="1" xfId="0" applyNumberFormat="1" applyFont="1" applyFill="1" applyBorder="1" applyProtection="1">
      <protection locked="0" hidden="1"/>
    </xf>
    <xf numFmtId="0" fontId="13" fillId="0" borderId="1" xfId="0" applyFont="1" applyBorder="1" applyProtection="1">
      <protection hidden="1"/>
    </xf>
    <xf numFmtId="0" fontId="10" fillId="0" borderId="9" xfId="0" quotePrefix="1" applyFont="1" applyBorder="1" applyAlignment="1" applyProtection="1">
      <alignment horizontal="center"/>
      <protection hidden="1"/>
    </xf>
    <xf numFmtId="0" fontId="10" fillId="2" borderId="6" xfId="0" applyFont="1" applyFill="1" applyBorder="1" applyProtection="1">
      <protection locked="0" hidden="1"/>
    </xf>
    <xf numFmtId="0" fontId="10" fillId="0" borderId="10" xfId="0" quotePrefix="1" applyFont="1" applyBorder="1" applyAlignment="1" applyProtection="1">
      <alignment horizontal="center"/>
      <protection hidden="1"/>
    </xf>
    <xf numFmtId="0" fontId="10" fillId="2" borderId="8" xfId="0" applyFont="1" applyFill="1" applyBorder="1" applyProtection="1">
      <protection locked="0" hidden="1"/>
    </xf>
    <xf numFmtId="0" fontId="10" fillId="0" borderId="12" xfId="0" applyFont="1" applyBorder="1" applyProtection="1">
      <protection hidden="1"/>
    </xf>
    <xf numFmtId="0" fontId="13" fillId="0" borderId="7" xfId="0" applyFont="1" applyBorder="1" applyProtection="1">
      <protection hidden="1"/>
    </xf>
    <xf numFmtId="0" fontId="13" fillId="0" borderId="1" xfId="0" applyFont="1" applyBorder="1" applyAlignment="1" applyProtection="1">
      <alignment horizontal="left"/>
      <protection hidden="1"/>
    </xf>
    <xf numFmtId="164" fontId="13" fillId="0" borderId="1" xfId="0" applyNumberFormat="1" applyFont="1" applyBorder="1" applyAlignment="1" applyProtection="1">
      <protection hidden="1"/>
    </xf>
    <xf numFmtId="0" fontId="23" fillId="0" borderId="2" xfId="0" applyFont="1" applyBorder="1" applyAlignment="1" applyProtection="1">
      <alignment horizontal="center"/>
      <protection hidden="1"/>
    </xf>
    <xf numFmtId="0" fontId="13" fillId="0" borderId="1" xfId="0" applyFont="1" applyBorder="1" applyAlignment="1" applyProtection="1">
      <protection hidden="1"/>
    </xf>
    <xf numFmtId="0" fontId="23" fillId="0" borderId="2" xfId="0" applyFont="1" applyBorder="1" applyProtection="1">
      <protection hidden="1"/>
    </xf>
    <xf numFmtId="164" fontId="10" fillId="0" borderId="1" xfId="0" applyNumberFormat="1" applyFont="1" applyBorder="1" applyProtection="1">
      <protection hidden="1"/>
    </xf>
    <xf numFmtId="0" fontId="10" fillId="0" borderId="1" xfId="0" quotePrefix="1" applyFont="1" applyBorder="1" applyAlignment="1" applyProtection="1">
      <alignment horizontal="center"/>
      <protection hidden="1"/>
    </xf>
    <xf numFmtId="0" fontId="24" fillId="0" borderId="1" xfId="0" applyFont="1" applyBorder="1" applyProtection="1">
      <protection hidden="1"/>
    </xf>
    <xf numFmtId="0" fontId="25" fillId="0" borderId="1" xfId="0" applyFont="1" applyBorder="1" applyProtection="1">
      <protection hidden="1"/>
    </xf>
    <xf numFmtId="0" fontId="10" fillId="0" borderId="1" xfId="0" applyFont="1" applyBorder="1" applyAlignment="1" applyProtection="1">
      <alignment horizontal="center" wrapText="1"/>
      <protection hidden="1"/>
    </xf>
    <xf numFmtId="0" fontId="10" fillId="0" borderId="1" xfId="0" applyFont="1" applyBorder="1" applyAlignment="1" applyProtection="1">
      <alignment horizontal="center"/>
      <protection hidden="1"/>
    </xf>
    <xf numFmtId="0" fontId="8" fillId="0" borderId="4" xfId="0" quotePrefix="1" applyFont="1" applyBorder="1" applyAlignment="1" applyProtection="1">
      <alignment horizontal="center"/>
      <protection hidden="1"/>
    </xf>
    <xf numFmtId="164" fontId="10" fillId="0" borderId="1" xfId="0" applyNumberFormat="1" applyFont="1" applyBorder="1" applyAlignment="1" applyProtection="1">
      <alignment horizontal="center"/>
      <protection hidden="1"/>
    </xf>
    <xf numFmtId="165" fontId="26" fillId="0" borderId="1" xfId="0" applyNumberFormat="1" applyFont="1" applyBorder="1" applyAlignment="1" applyProtection="1">
      <alignment horizontal="center"/>
      <protection hidden="1"/>
    </xf>
    <xf numFmtId="5" fontId="26" fillId="0" borderId="1" xfId="0" applyNumberFormat="1" applyFont="1" applyBorder="1" applyAlignment="1" applyProtection="1">
      <alignment horizontal="center"/>
      <protection hidden="1"/>
    </xf>
    <xf numFmtId="5" fontId="20" fillId="0" borderId="1" xfId="0" applyNumberFormat="1" applyFont="1" applyBorder="1" applyAlignment="1" applyProtection="1">
      <alignment horizontal="center"/>
      <protection hidden="1"/>
    </xf>
    <xf numFmtId="5" fontId="8" fillId="0" borderId="4" xfId="0" applyNumberFormat="1" applyFont="1" applyBorder="1" applyProtection="1">
      <protection hidden="1"/>
    </xf>
    <xf numFmtId="5" fontId="8" fillId="0" borderId="2" xfId="0" applyNumberFormat="1" applyFont="1" applyBorder="1" applyProtection="1">
      <protection hidden="1"/>
    </xf>
    <xf numFmtId="5" fontId="26" fillId="0" borderId="1" xfId="0" applyNumberFormat="1" applyFont="1" applyBorder="1" applyProtection="1">
      <protection hidden="1"/>
    </xf>
    <xf numFmtId="0" fontId="26" fillId="0" borderId="1" xfId="0" applyFont="1" applyBorder="1" applyProtection="1">
      <protection hidden="1"/>
    </xf>
    <xf numFmtId="0" fontId="20" fillId="0" borderId="1" xfId="0" applyFont="1" applyBorder="1" applyProtection="1">
      <protection hidden="1"/>
    </xf>
    <xf numFmtId="5" fontId="23" fillId="0" borderId="4" xfId="0" applyNumberFormat="1" applyFont="1" applyBorder="1" applyProtection="1">
      <protection hidden="1"/>
    </xf>
    <xf numFmtId="0" fontId="27" fillId="0" borderId="1" xfId="0" applyFont="1" applyBorder="1" applyAlignment="1" applyProtection="1">
      <alignment horizontal="center"/>
      <protection hidden="1"/>
    </xf>
    <xf numFmtId="5" fontId="28" fillId="0" borderId="1" xfId="0" applyNumberFormat="1" applyFont="1" applyBorder="1" applyAlignment="1" applyProtection="1">
      <alignment horizontal="center"/>
      <protection hidden="1"/>
    </xf>
    <xf numFmtId="165" fontId="28" fillId="0" borderId="1" xfId="0" applyNumberFormat="1" applyFont="1" applyBorder="1" applyAlignment="1" applyProtection="1">
      <alignment horizontal="center"/>
      <protection hidden="1"/>
    </xf>
    <xf numFmtId="0" fontId="29" fillId="0" borderId="1" xfId="0" applyFont="1" applyBorder="1" applyProtection="1">
      <protection hidden="1"/>
    </xf>
    <xf numFmtId="5" fontId="29" fillId="0" borderId="4" xfId="0" applyNumberFormat="1" applyFont="1" applyBorder="1" applyProtection="1">
      <protection hidden="1"/>
    </xf>
    <xf numFmtId="5" fontId="29" fillId="0" borderId="2" xfId="0" applyNumberFormat="1" applyFont="1" applyBorder="1" applyProtection="1">
      <protection hidden="1"/>
    </xf>
    <xf numFmtId="0" fontId="29" fillId="0" borderId="2" xfId="0" applyFont="1" applyBorder="1" applyProtection="1">
      <protection hidden="1"/>
    </xf>
    <xf numFmtId="0" fontId="11" fillId="0" borderId="1"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1" xfId="0" applyFont="1" applyBorder="1" applyAlignment="1" applyProtection="1">
      <alignment horizontal="center" vertical="center" wrapText="1"/>
      <protection hidden="1"/>
    </xf>
    <xf numFmtId="164" fontId="13" fillId="0" borderId="1" xfId="0" quotePrefix="1" applyNumberFormat="1" applyFont="1" applyBorder="1" applyAlignment="1" applyProtection="1">
      <alignment horizontal="center" wrapText="1"/>
      <protection hidden="1"/>
    </xf>
    <xf numFmtId="164" fontId="13" fillId="0" borderId="9" xfId="0" applyNumberFormat="1" applyFont="1" applyBorder="1" applyAlignment="1" applyProtection="1">
      <alignment horizontal="center"/>
      <protection hidden="1"/>
    </xf>
    <xf numFmtId="0" fontId="13" fillId="0" borderId="12" xfId="0" applyFont="1" applyBorder="1" applyAlignment="1" applyProtection="1">
      <alignment horizontal="center" wrapText="1"/>
      <protection hidden="1"/>
    </xf>
    <xf numFmtId="164" fontId="13" fillId="0" borderId="1" xfId="0" applyNumberFormat="1" applyFont="1" applyBorder="1" applyAlignment="1" applyProtection="1">
      <alignment horizontal="center"/>
      <protection hidden="1"/>
    </xf>
    <xf numFmtId="0" fontId="13" fillId="0" borderId="1" xfId="0" quotePrefix="1" applyFont="1" applyBorder="1" applyProtection="1">
      <protection hidden="1"/>
    </xf>
    <xf numFmtId="0" fontId="13" fillId="4" borderId="1" xfId="0" applyFont="1" applyFill="1" applyBorder="1" applyProtection="1">
      <protection hidden="1"/>
    </xf>
    <xf numFmtId="0" fontId="13" fillId="5" borderId="1" xfId="0" applyFont="1" applyFill="1" applyBorder="1" applyProtection="1">
      <protection hidden="1"/>
    </xf>
    <xf numFmtId="0" fontId="10" fillId="2" borderId="1" xfId="0" applyFont="1" applyFill="1" applyBorder="1" applyProtection="1">
      <protection locked="0"/>
    </xf>
    <xf numFmtId="0" fontId="10" fillId="2" borderId="9" xfId="0" applyFont="1" applyFill="1" applyBorder="1" applyProtection="1">
      <protection locked="0"/>
    </xf>
    <xf numFmtId="0" fontId="13" fillId="4" borderId="12" xfId="0" applyFont="1" applyFill="1" applyBorder="1" applyProtection="1">
      <protection hidden="1"/>
    </xf>
    <xf numFmtId="0" fontId="13" fillId="6" borderId="1" xfId="0" applyFont="1" applyFill="1" applyBorder="1" applyProtection="1">
      <protection hidden="1"/>
    </xf>
    <xf numFmtId="0" fontId="13" fillId="5" borderId="1" xfId="0" applyFont="1" applyFill="1" applyBorder="1" applyAlignment="1" applyProtection="1">
      <alignment horizontal="center" vertical="center" wrapText="1"/>
      <protection hidden="1"/>
    </xf>
    <xf numFmtId="0" fontId="13" fillId="5" borderId="9" xfId="0" applyFont="1" applyFill="1" applyBorder="1" applyProtection="1">
      <protection hidden="1"/>
    </xf>
    <xf numFmtId="0" fontId="13" fillId="6" borderId="1"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right" wrapText="1"/>
      <protection hidden="1"/>
    </xf>
    <xf numFmtId="0" fontId="13" fillId="4" borderId="9" xfId="0" applyFont="1" applyFill="1" applyBorder="1" applyAlignment="1" applyProtection="1">
      <alignment horizontal="right" wrapText="1"/>
      <protection hidden="1"/>
    </xf>
    <xf numFmtId="165" fontId="25" fillId="0" borderId="1" xfId="0" applyNumberFormat="1" applyFont="1" applyBorder="1" applyProtection="1">
      <protection hidden="1"/>
    </xf>
    <xf numFmtId="165" fontId="24" fillId="0" borderId="1" xfId="0" applyNumberFormat="1" applyFont="1" applyBorder="1" applyProtection="1">
      <protection hidden="1"/>
    </xf>
    <xf numFmtId="0" fontId="13" fillId="0" borderId="1" xfId="0" applyFont="1" applyFill="1" applyBorder="1" applyProtection="1">
      <protection hidden="1"/>
    </xf>
    <xf numFmtId="0" fontId="13" fillId="0" borderId="1" xfId="0" quotePrefix="1" applyFont="1" applyBorder="1" applyAlignment="1" applyProtection="1">
      <alignment vertical="center"/>
      <protection hidden="1"/>
    </xf>
    <xf numFmtId="0" fontId="8" fillId="0" borderId="2" xfId="0" applyFont="1" applyBorder="1" applyAlignment="1" applyProtection="1">
      <alignment horizontal="center"/>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5" fontId="10" fillId="0" borderId="1" xfId="0" applyNumberFormat="1" applyFont="1" applyBorder="1" applyProtection="1">
      <protection hidden="1"/>
    </xf>
    <xf numFmtId="5" fontId="27" fillId="0" borderId="1" xfId="0" applyNumberFormat="1" applyFont="1" applyBorder="1" applyProtection="1">
      <protection hidden="1"/>
    </xf>
    <xf numFmtId="0" fontId="10" fillId="0" borderId="1" xfId="0" quotePrefix="1" applyFont="1" applyBorder="1" applyAlignment="1" applyProtection="1">
      <alignment horizontal="right"/>
      <protection hidden="1"/>
    </xf>
    <xf numFmtId="0" fontId="10" fillId="0" borderId="1" xfId="0" quotePrefix="1" applyFont="1" applyBorder="1" applyAlignment="1" applyProtection="1">
      <alignment horizontal="left"/>
      <protection hidden="1"/>
    </xf>
    <xf numFmtId="0" fontId="27" fillId="0" borderId="1" xfId="0" applyFont="1" applyBorder="1" applyProtection="1">
      <protection hidden="1"/>
    </xf>
    <xf numFmtId="5" fontId="8" fillId="0" borderId="1" xfId="0" applyNumberFormat="1" applyFont="1" applyBorder="1" applyAlignment="1" applyProtection="1">
      <protection hidden="1"/>
    </xf>
    <xf numFmtId="0" fontId="8" fillId="0" borderId="1" xfId="0" applyFont="1" applyBorder="1" applyAlignment="1" applyProtection="1">
      <alignment horizontal="center"/>
      <protection hidden="1"/>
    </xf>
    <xf numFmtId="5" fontId="10" fillId="3" borderId="1" xfId="0" applyNumberFormat="1" applyFont="1" applyFill="1" applyBorder="1" applyProtection="1">
      <protection hidden="1"/>
    </xf>
    <xf numFmtId="10" fontId="10" fillId="0" borderId="1" xfId="0" applyNumberFormat="1" applyFont="1" applyBorder="1" applyProtection="1">
      <protection hidden="1"/>
    </xf>
    <xf numFmtId="5" fontId="10" fillId="0" borderId="3" xfId="0" applyNumberFormat="1" applyFont="1" applyBorder="1" applyProtection="1">
      <protection hidden="1"/>
    </xf>
    <xf numFmtId="0" fontId="10" fillId="0" borderId="5" xfId="0" applyFont="1" applyBorder="1" applyAlignment="1" applyProtection="1">
      <alignment horizontal="right"/>
      <protection hidden="1"/>
    </xf>
    <xf numFmtId="10" fontId="10" fillId="0" borderId="3" xfId="0" applyNumberFormat="1" applyFont="1" applyBorder="1" applyProtection="1">
      <protection hidden="1"/>
    </xf>
    <xf numFmtId="0" fontId="10" fillId="0" borderId="4" xfId="0" applyFont="1" applyBorder="1" applyAlignment="1" applyProtection="1">
      <alignment horizontal="right"/>
      <protection hidden="1"/>
    </xf>
    <xf numFmtId="10" fontId="10" fillId="0" borderId="2" xfId="0" applyNumberFormat="1" applyFont="1" applyBorder="1" applyProtection="1">
      <protection hidden="1"/>
    </xf>
    <xf numFmtId="5" fontId="10" fillId="0" borderId="2" xfId="0" applyNumberFormat="1" applyFont="1" applyBorder="1" applyProtection="1">
      <protection hidden="1"/>
    </xf>
    <xf numFmtId="0" fontId="10" fillId="0" borderId="4" xfId="0" applyFont="1" applyBorder="1" applyProtection="1">
      <protection hidden="1"/>
    </xf>
    <xf numFmtId="0" fontId="10" fillId="0" borderId="4" xfId="0" applyFont="1" applyBorder="1" applyAlignment="1" applyProtection="1">
      <alignment horizontal="center"/>
      <protection hidden="1"/>
    </xf>
    <xf numFmtId="0" fontId="10" fillId="0" borderId="2" xfId="0" applyFont="1" applyBorder="1" applyProtection="1">
      <protection hidden="1"/>
    </xf>
    <xf numFmtId="0" fontId="8" fillId="0" borderId="0" xfId="0" applyFont="1" applyBorder="1" applyProtection="1">
      <protection hidden="1"/>
    </xf>
    <xf numFmtId="0" fontId="13" fillId="4" borderId="1" xfId="0" applyFont="1" applyFill="1" applyBorder="1" applyAlignment="1" applyProtection="1">
      <alignment horizontal="right"/>
      <protection hidden="1"/>
    </xf>
    <xf numFmtId="0" fontId="13" fillId="0" borderId="1" xfId="0" quotePrefix="1" applyFont="1" applyBorder="1" applyAlignment="1" applyProtection="1">
      <alignment horizontal="center" vertical="center"/>
      <protection hidden="1"/>
    </xf>
    <xf numFmtId="0" fontId="16" fillId="0" borderId="1" xfId="0" applyFont="1" applyBorder="1" applyAlignment="1" applyProtection="1">
      <alignment horizontal="center"/>
      <protection hidden="1"/>
    </xf>
    <xf numFmtId="0" fontId="22" fillId="0" borderId="9" xfId="0" applyNumberFormat="1" applyFont="1" applyBorder="1" applyAlignment="1" applyProtection="1">
      <alignment horizontal="center" wrapText="1"/>
      <protection hidden="1"/>
    </xf>
    <xf numFmtId="0" fontId="22" fillId="0" borderId="13" xfId="0" applyNumberFormat="1" applyFont="1" applyBorder="1" applyAlignment="1" applyProtection="1">
      <alignment horizontal="center" wrapText="1"/>
      <protection hidden="1"/>
    </xf>
    <xf numFmtId="0" fontId="22" fillId="0" borderId="14" xfId="0" applyNumberFormat="1" applyFont="1" applyBorder="1" applyAlignment="1" applyProtection="1">
      <alignment horizontal="center" wrapText="1"/>
      <protection hidden="1"/>
    </xf>
    <xf numFmtId="0" fontId="8" fillId="0" borderId="1" xfId="0" applyFont="1" applyBorder="1" applyAlignment="1" applyProtection="1">
      <alignment horizontal="center" wrapText="1"/>
      <protection hidden="1"/>
    </xf>
    <xf numFmtId="0" fontId="11" fillId="0" borderId="1"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1" xfId="0" applyFont="1" applyBorder="1" applyAlignment="1" applyProtection="1">
      <alignment horizontal="right"/>
      <protection hidden="1"/>
    </xf>
    <xf numFmtId="49" fontId="13" fillId="0" borderId="1" xfId="0" applyNumberFormat="1"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22" fillId="0" borderId="9" xfId="0" applyFont="1" applyBorder="1" applyAlignment="1" applyProtection="1">
      <alignment horizontal="center" wrapText="1"/>
      <protection hidden="1"/>
    </xf>
    <xf numFmtId="0" fontId="22" fillId="0" borderId="13" xfId="0" applyFont="1" applyBorder="1" applyAlignment="1" applyProtection="1">
      <alignment horizontal="center" wrapText="1"/>
      <protection hidden="1"/>
    </xf>
    <xf numFmtId="0" fontId="22" fillId="0" borderId="14" xfId="0" applyFont="1" applyBorder="1" applyAlignment="1" applyProtection="1">
      <alignment horizontal="center" wrapText="1"/>
      <protection hidden="1"/>
    </xf>
    <xf numFmtId="0" fontId="30" fillId="4" borderId="9" xfId="0" applyFont="1" applyFill="1" applyBorder="1" applyAlignment="1" applyProtection="1">
      <alignment horizontal="center" wrapText="1"/>
      <protection hidden="1"/>
    </xf>
    <xf numFmtId="0" fontId="30" fillId="4" borderId="14" xfId="0" applyFont="1" applyFill="1" applyBorder="1" applyAlignment="1" applyProtection="1">
      <alignment horizontal="center" wrapText="1"/>
      <protection hidden="1"/>
    </xf>
    <xf numFmtId="49" fontId="10" fillId="2" borderId="1" xfId="0" applyNumberFormat="1" applyFont="1" applyFill="1" applyBorder="1" applyAlignment="1" applyProtection="1">
      <alignment horizontal="center"/>
      <protection locked="0" hidden="1"/>
    </xf>
    <xf numFmtId="0" fontId="10" fillId="2" borderId="1" xfId="0" applyFont="1" applyFill="1" applyBorder="1" applyAlignment="1" applyProtection="1">
      <alignment horizontal="center"/>
      <protection locked="0" hidden="1"/>
    </xf>
    <xf numFmtId="0" fontId="13" fillId="0" borderId="1" xfId="0" applyFont="1" applyBorder="1" applyAlignment="1" applyProtection="1">
      <alignment horizontal="right"/>
      <protection hidden="1"/>
    </xf>
    <xf numFmtId="0" fontId="13" fillId="0" borderId="9"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6" fillId="0" borderId="12" xfId="0" applyFont="1" applyBorder="1" applyAlignment="1" applyProtection="1">
      <alignment horizontal="center"/>
      <protection hidden="1"/>
    </xf>
    <xf numFmtId="0" fontId="17" fillId="0" borderId="0" xfId="1" applyFont="1" applyAlignment="1" applyProtection="1">
      <protection locked="0" hidden="1"/>
    </xf>
    <xf numFmtId="0" fontId="13" fillId="0" borderId="1" xfId="0" applyFont="1" applyBorder="1" applyAlignment="1" applyProtection="1">
      <alignment horizontal="left"/>
      <protection hidden="1"/>
    </xf>
    <xf numFmtId="5" fontId="13" fillId="0" borderId="17" xfId="0" applyNumberFormat="1" applyFont="1" applyBorder="1" applyAlignment="1" applyProtection="1">
      <alignment horizontal="center" vertical="center" wrapText="1"/>
      <protection hidden="1"/>
    </xf>
    <xf numFmtId="5" fontId="13" fillId="0" borderId="7" xfId="0" applyNumberFormat="1"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0" fillId="3" borderId="1" xfId="0" applyFont="1" applyFill="1" applyBorder="1" applyAlignment="1" applyProtection="1">
      <alignment horizontal="left"/>
      <protection hidden="1"/>
    </xf>
    <xf numFmtId="0" fontId="20" fillId="0" borderId="1" xfId="0" applyFont="1" applyBorder="1" applyAlignment="1" applyProtection="1">
      <alignment horizontal="center"/>
      <protection hidden="1"/>
    </xf>
    <xf numFmtId="5" fontId="13" fillId="0" borderId="17" xfId="0" applyNumberFormat="1" applyFont="1" applyBorder="1" applyAlignment="1" applyProtection="1">
      <alignment horizontal="center" vertical="center"/>
      <protection hidden="1"/>
    </xf>
    <xf numFmtId="49" fontId="10" fillId="0" borderId="9" xfId="0" applyNumberFormat="1" applyFont="1" applyBorder="1" applyAlignment="1" applyProtection="1">
      <alignment horizontal="justify" vertical="center" wrapText="1"/>
      <protection hidden="1"/>
    </xf>
    <xf numFmtId="49" fontId="11" fillId="0" borderId="13" xfId="0" applyNumberFormat="1" applyFont="1" applyBorder="1" applyAlignment="1" applyProtection="1">
      <alignment horizontal="justify" vertical="center" wrapText="1"/>
      <protection hidden="1"/>
    </xf>
    <xf numFmtId="49" fontId="11" fillId="0" borderId="14" xfId="0" applyNumberFormat="1" applyFont="1" applyBorder="1" applyAlignment="1" applyProtection="1">
      <alignment horizontal="justify" vertical="center" wrapText="1"/>
      <protection hidden="1"/>
    </xf>
    <xf numFmtId="0" fontId="22" fillId="0" borderId="9" xfId="0" applyFont="1" applyBorder="1" applyAlignment="1" applyProtection="1">
      <alignment horizontal="center"/>
      <protection hidden="1"/>
    </xf>
    <xf numFmtId="0" fontId="22" fillId="0" borderId="13"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10" fillId="0" borderId="18"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protection hidden="1"/>
    </xf>
    <xf numFmtId="0" fontId="21" fillId="0" borderId="15" xfId="0" quotePrefix="1" applyFont="1" applyBorder="1" applyAlignment="1" applyProtection="1">
      <alignment horizontal="center" vertical="center"/>
      <protection hidden="1"/>
    </xf>
    <xf numFmtId="0" fontId="8" fillId="0" borderId="16" xfId="0" applyFont="1" applyBorder="1"/>
    <xf numFmtId="49" fontId="10" fillId="3" borderId="1" xfId="0" applyNumberFormat="1" applyFont="1" applyFill="1" applyBorder="1" applyAlignment="1" applyProtection="1">
      <alignment horizontal="left"/>
      <protection hidden="1"/>
    </xf>
    <xf numFmtId="49" fontId="10" fillId="0" borderId="9" xfId="0" applyNumberFormat="1" applyFont="1" applyBorder="1" applyAlignment="1" applyProtection="1">
      <alignment horizontal="left"/>
      <protection hidden="1"/>
    </xf>
    <xf numFmtId="49" fontId="10" fillId="0" borderId="14" xfId="0" applyNumberFormat="1" applyFont="1" applyBorder="1" applyAlignment="1" applyProtection="1">
      <alignment horizontal="left"/>
      <protection hidden="1"/>
    </xf>
    <xf numFmtId="0" fontId="18" fillId="0" borderId="9" xfId="1" applyFont="1" applyBorder="1" applyAlignment="1" applyProtection="1">
      <alignment horizontal="left"/>
      <protection locked="0" hidden="1"/>
    </xf>
    <xf numFmtId="0" fontId="18" fillId="0" borderId="13" xfId="1" applyFont="1" applyBorder="1" applyAlignment="1" applyProtection="1">
      <alignment horizontal="left"/>
      <protection locked="0" hidden="1"/>
    </xf>
    <xf numFmtId="0" fontId="18" fillId="0" borderId="14" xfId="1" applyFont="1" applyBorder="1" applyAlignment="1" applyProtection="1">
      <alignment horizontal="left"/>
      <protection locked="0" hidden="1"/>
    </xf>
    <xf numFmtId="0" fontId="10" fillId="0" borderId="1" xfId="0" quotePrefix="1" applyFont="1" applyBorder="1" applyAlignment="1" applyProtection="1">
      <alignment horizontal="left"/>
      <protection hidden="1"/>
    </xf>
    <xf numFmtId="0" fontId="16" fillId="0" borderId="9"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 fillId="0" borderId="22" xfId="0" applyFont="1" applyBorder="1" applyAlignment="1" applyProtection="1">
      <alignment horizontal="left" wrapText="1"/>
      <protection hidden="1"/>
    </xf>
    <xf numFmtId="0" fontId="8" fillId="0" borderId="22" xfId="0" applyFont="1" applyBorder="1" applyAlignment="1" applyProtection="1">
      <alignment horizontal="left" wrapText="1"/>
      <protection hidden="1"/>
    </xf>
    <xf numFmtId="0" fontId="8" fillId="0" borderId="4" xfId="0" applyFont="1" applyBorder="1" applyAlignment="1" applyProtection="1">
      <alignment horizontal="left" wrapText="1"/>
      <protection hidden="1"/>
    </xf>
    <xf numFmtId="0" fontId="23" fillId="0" borderId="9"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23" fillId="0" borderId="14" xfId="0" applyFont="1" applyBorder="1" applyAlignment="1" applyProtection="1">
      <alignment horizontal="center" wrapText="1"/>
      <protection hidden="1"/>
    </xf>
    <xf numFmtId="49" fontId="10" fillId="3" borderId="10" xfId="0" applyNumberFormat="1" applyFont="1" applyFill="1" applyBorder="1" applyAlignment="1" applyProtection="1">
      <alignment horizontal="left" vertical="top" wrapText="1"/>
      <protection hidden="1"/>
    </xf>
    <xf numFmtId="49" fontId="10" fillId="3" borderId="19" xfId="0" applyNumberFormat="1" applyFont="1" applyFill="1" applyBorder="1" applyAlignment="1" applyProtection="1">
      <alignment horizontal="left" vertical="top"/>
      <protection hidden="1"/>
    </xf>
    <xf numFmtId="49" fontId="10" fillId="3" borderId="20" xfId="0" applyNumberFormat="1" applyFont="1" applyFill="1" applyBorder="1" applyAlignment="1" applyProtection="1">
      <alignment horizontal="left" vertical="top"/>
      <protection hidden="1"/>
    </xf>
    <xf numFmtId="49" fontId="10" fillId="3" borderId="15" xfId="0" applyNumberFormat="1" applyFont="1" applyFill="1" applyBorder="1" applyAlignment="1" applyProtection="1">
      <alignment horizontal="left" vertical="top"/>
      <protection hidden="1"/>
    </xf>
    <xf numFmtId="49" fontId="10" fillId="3" borderId="21" xfId="0" applyNumberFormat="1" applyFont="1" applyFill="1" applyBorder="1" applyAlignment="1" applyProtection="1">
      <alignment horizontal="left" vertical="top"/>
      <protection hidden="1"/>
    </xf>
    <xf numFmtId="49" fontId="10" fillId="3" borderId="16" xfId="0" applyNumberFormat="1" applyFont="1" applyFill="1" applyBorder="1" applyAlignment="1" applyProtection="1">
      <alignment horizontal="left" vertical="top"/>
      <protection hidden="1"/>
    </xf>
    <xf numFmtId="0" fontId="6" fillId="0" borderId="9"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1" fillId="0" borderId="9" xfId="0" quotePrefix="1" applyFont="1" applyBorder="1" applyAlignment="1" applyProtection="1">
      <alignment horizontal="center"/>
      <protection hidden="1"/>
    </xf>
    <xf numFmtId="0" fontId="11" fillId="0" borderId="13" xfId="0" quotePrefix="1" applyFont="1" applyBorder="1" applyAlignment="1" applyProtection="1">
      <alignment horizontal="center"/>
      <protection hidden="1"/>
    </xf>
    <xf numFmtId="0" fontId="11" fillId="0" borderId="14" xfId="0" quotePrefix="1" applyFont="1" applyBorder="1" applyAlignment="1" applyProtection="1">
      <alignment horizontal="center"/>
      <protection hidden="1"/>
    </xf>
    <xf numFmtId="0" fontId="13" fillId="0" borderId="9" xfId="0" applyFont="1" applyBorder="1" applyAlignment="1" applyProtection="1">
      <alignment horizontal="right"/>
      <protection hidden="1"/>
    </xf>
    <xf numFmtId="0" fontId="13" fillId="0" borderId="14" xfId="0" applyFont="1" applyBorder="1" applyAlignment="1" applyProtection="1">
      <alignment horizontal="right"/>
      <protection hidden="1"/>
    </xf>
    <xf numFmtId="0" fontId="9" fillId="0" borderId="9"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14" fillId="0" borderId="1" xfId="0" applyFont="1" applyBorder="1" applyAlignment="1" applyProtection="1">
      <alignment horizontal="left"/>
      <protection hidden="1"/>
    </xf>
    <xf numFmtId="0" fontId="4" fillId="0" borderId="0" xfId="0" applyFont="1" applyBorder="1" applyAlignment="1" applyProtection="1">
      <alignment horizontal="center"/>
      <protection hidden="1"/>
    </xf>
    <xf numFmtId="165"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taxrate.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3"/>
  <sheetViews>
    <sheetView showRowColHeaders="0" tabSelected="1" defaultGridColor="0" colorId="22" zoomScale="55" zoomScaleNormal="55" workbookViewId="0">
      <selection activeCell="C11" sqref="C11:D11"/>
    </sheetView>
  </sheetViews>
  <sheetFormatPr defaultColWidth="9.77734375" defaultRowHeight="15" x14ac:dyDescent="0.2"/>
  <cols>
    <col min="1" max="1" width="17.21875" style="15" customWidth="1"/>
    <col min="2" max="2" width="15.21875" style="16" customWidth="1"/>
    <col min="3" max="3" width="13.88671875" style="16" customWidth="1"/>
    <col min="4" max="4" width="14" style="16" customWidth="1"/>
    <col min="5" max="5" width="13.5546875" style="16" customWidth="1"/>
    <col min="6" max="6" width="13.77734375" style="16" bestFit="1" customWidth="1"/>
    <col min="7" max="7" width="13.6640625" style="16" bestFit="1" customWidth="1"/>
    <col min="8" max="8" width="13.77734375" style="16" bestFit="1" customWidth="1"/>
    <col min="9" max="10" width="19" style="16" customWidth="1"/>
    <col min="11" max="12" width="11.77734375" style="16" hidden="1" customWidth="1"/>
    <col min="13" max="16" width="9.77734375" style="16" hidden="1" customWidth="1"/>
    <col min="17" max="17" width="9.77734375" style="16" customWidth="1"/>
    <col min="18" max="18" width="11" style="16" customWidth="1"/>
    <col min="19" max="39" width="9.77734375" style="16" customWidth="1"/>
    <col min="40" max="16384" width="9.77734375" style="16"/>
  </cols>
  <sheetData>
    <row r="1" spans="1:29" s="14" customFormat="1" ht="23.25" x14ac:dyDescent="0.35">
      <c r="A1" s="200" t="s">
        <v>111</v>
      </c>
      <c r="B1" s="201"/>
      <c r="C1" s="201"/>
      <c r="D1" s="201"/>
      <c r="E1" s="201"/>
      <c r="F1" s="201"/>
      <c r="G1" s="201"/>
      <c r="H1" s="201"/>
      <c r="I1" s="201"/>
      <c r="J1" s="202"/>
      <c r="K1" s="12"/>
      <c r="L1" s="13"/>
    </row>
    <row r="2" spans="1:29" ht="23.25" x14ac:dyDescent="0.35">
      <c r="A2" s="200" t="s">
        <v>42</v>
      </c>
      <c r="B2" s="201"/>
      <c r="C2" s="201"/>
      <c r="D2" s="201"/>
      <c r="E2" s="201"/>
      <c r="F2" s="201"/>
      <c r="G2" s="201"/>
      <c r="H2" s="201"/>
      <c r="I2" s="201"/>
      <c r="J2" s="202"/>
      <c r="K2" s="12"/>
      <c r="L2" s="15"/>
    </row>
    <row r="3" spans="1:29" ht="20.25" x14ac:dyDescent="0.3">
      <c r="A3" s="211" t="s">
        <v>123</v>
      </c>
      <c r="B3" s="212"/>
      <c r="C3" s="212"/>
      <c r="D3" s="212"/>
      <c r="E3" s="212"/>
      <c r="F3" s="212"/>
      <c r="G3" s="212"/>
      <c r="H3" s="212"/>
      <c r="I3" s="212"/>
      <c r="J3" s="213"/>
      <c r="K3" s="17"/>
      <c r="L3" s="15"/>
    </row>
    <row r="4" spans="1:29" ht="18" x14ac:dyDescent="0.25">
      <c r="A4" s="18"/>
      <c r="B4" s="18"/>
      <c r="C4" s="18"/>
      <c r="D4" s="18"/>
      <c r="E4" s="18"/>
      <c r="F4" s="18"/>
      <c r="G4" s="18"/>
      <c r="H4" s="18"/>
      <c r="I4" s="18"/>
      <c r="J4" s="18"/>
      <c r="K4" s="17"/>
      <c r="L4" s="15"/>
    </row>
    <row r="5" spans="1:29" ht="20.25" x14ac:dyDescent="0.3">
      <c r="A5" s="206" t="s">
        <v>124</v>
      </c>
      <c r="B5" s="207"/>
      <c r="C5" s="207"/>
      <c r="D5" s="207"/>
      <c r="E5" s="207"/>
      <c r="F5" s="207"/>
      <c r="G5" s="207"/>
      <c r="H5" s="207"/>
      <c r="I5" s="207"/>
      <c r="J5" s="208"/>
      <c r="K5" s="18"/>
      <c r="L5" s="15"/>
    </row>
    <row r="6" spans="1:29" ht="20.25" x14ac:dyDescent="0.3">
      <c r="A6" s="203" t="s">
        <v>70</v>
      </c>
      <c r="B6" s="204"/>
      <c r="C6" s="204"/>
      <c r="D6" s="204"/>
      <c r="E6" s="204"/>
      <c r="F6" s="204"/>
      <c r="G6" s="204"/>
      <c r="H6" s="204"/>
      <c r="I6" s="204"/>
      <c r="J6" s="205"/>
      <c r="K6" s="12"/>
      <c r="L6" s="15"/>
    </row>
    <row r="7" spans="1:29" ht="20.25" x14ac:dyDescent="0.3">
      <c r="A7" s="203" t="s">
        <v>103</v>
      </c>
      <c r="B7" s="204"/>
      <c r="C7" s="204"/>
      <c r="D7" s="204"/>
      <c r="E7" s="204"/>
      <c r="F7" s="204"/>
      <c r="G7" s="204"/>
      <c r="H7" s="204"/>
      <c r="I7" s="204"/>
      <c r="J7" s="205"/>
      <c r="K7" s="18"/>
      <c r="L7" s="15"/>
    </row>
    <row r="8" spans="1:29" ht="45.75" customHeight="1" x14ac:dyDescent="0.25">
      <c r="A8" s="191" t="s">
        <v>121</v>
      </c>
      <c r="B8" s="192"/>
      <c r="C8" s="192"/>
      <c r="D8" s="192"/>
      <c r="E8" s="192"/>
      <c r="F8" s="192"/>
      <c r="G8" s="192"/>
      <c r="H8" s="192"/>
      <c r="I8" s="192"/>
      <c r="J8" s="193"/>
      <c r="K8" s="18"/>
      <c r="L8" s="15"/>
      <c r="AB8" s="129"/>
      <c r="AC8" s="129"/>
    </row>
    <row r="9" spans="1:29" ht="18" x14ac:dyDescent="0.25">
      <c r="A9" s="18"/>
      <c r="B9" s="18"/>
      <c r="C9" s="18"/>
      <c r="D9" s="18"/>
      <c r="E9" s="18"/>
      <c r="F9" s="18"/>
      <c r="G9" s="18"/>
      <c r="H9" s="18"/>
      <c r="I9" s="18"/>
      <c r="J9" s="18"/>
      <c r="K9" s="17"/>
      <c r="L9" s="15"/>
      <c r="AB9" s="19"/>
      <c r="AC9" s="19"/>
    </row>
    <row r="10" spans="1:29" ht="18" x14ac:dyDescent="0.25">
      <c r="A10" s="18"/>
      <c r="B10" s="18"/>
      <c r="C10" s="18"/>
      <c r="D10" s="18"/>
      <c r="E10" s="17"/>
      <c r="F10" s="17"/>
      <c r="G10" s="17"/>
      <c r="H10" s="18"/>
      <c r="I10" s="18"/>
      <c r="J10" s="18"/>
      <c r="K10" s="17"/>
      <c r="L10" s="15"/>
    </row>
    <row r="11" spans="1:29" ht="18" x14ac:dyDescent="0.25">
      <c r="A11" s="18"/>
      <c r="B11" s="20" t="s">
        <v>1</v>
      </c>
      <c r="C11" s="153"/>
      <c r="D11" s="153"/>
      <c r="E11" s="155" t="s">
        <v>0</v>
      </c>
      <c r="F11" s="155"/>
      <c r="G11" s="21"/>
      <c r="H11" s="18"/>
      <c r="I11" s="18"/>
      <c r="J11" s="18"/>
      <c r="K11" s="17"/>
      <c r="L11" s="15"/>
    </row>
    <row r="12" spans="1:29" ht="18" x14ac:dyDescent="0.25">
      <c r="A12" s="18" t="s">
        <v>2</v>
      </c>
      <c r="B12" s="18"/>
      <c r="C12" s="22"/>
      <c r="D12" s="22"/>
      <c r="E12" s="23"/>
      <c r="F12" s="23"/>
      <c r="G12" s="18"/>
      <c r="H12" s="18"/>
      <c r="I12" s="18"/>
      <c r="J12" s="18"/>
      <c r="K12" s="17"/>
      <c r="L12" s="15"/>
    </row>
    <row r="13" spans="1:29" ht="18" x14ac:dyDescent="0.25">
      <c r="A13" s="155" t="s">
        <v>3</v>
      </c>
      <c r="B13" s="155"/>
      <c r="C13" s="153"/>
      <c r="D13" s="153"/>
      <c r="E13" s="155" t="s">
        <v>4</v>
      </c>
      <c r="F13" s="155"/>
      <c r="G13" s="154"/>
      <c r="H13" s="154"/>
      <c r="I13" s="24"/>
      <c r="J13" s="24"/>
      <c r="K13" s="17"/>
      <c r="L13" s="15"/>
    </row>
    <row r="14" spans="1:29" ht="18" x14ac:dyDescent="0.25">
      <c r="A14" s="18"/>
      <c r="B14" s="18"/>
      <c r="C14" s="22"/>
      <c r="D14" s="22"/>
      <c r="E14" s="23"/>
      <c r="F14" s="23"/>
      <c r="G14" s="18"/>
      <c r="H14" s="18"/>
      <c r="I14" s="25"/>
      <c r="J14" s="25"/>
      <c r="K14" s="17"/>
      <c r="L14" s="15"/>
    </row>
    <row r="15" spans="1:29" ht="18" x14ac:dyDescent="0.25">
      <c r="A15" s="209" t="s">
        <v>39</v>
      </c>
      <c r="B15" s="210"/>
      <c r="C15" s="194" t="s">
        <v>125</v>
      </c>
      <c r="D15" s="195"/>
      <c r="E15" s="196"/>
      <c r="F15" s="23"/>
      <c r="G15" s="18"/>
      <c r="H15" s="18"/>
      <c r="I15" s="25"/>
      <c r="J15" s="25"/>
      <c r="K15" s="17"/>
      <c r="L15" s="15"/>
    </row>
    <row r="16" spans="1:29" ht="18" x14ac:dyDescent="0.25">
      <c r="A16" s="18"/>
      <c r="B16" s="18"/>
      <c r="C16" s="197"/>
      <c r="D16" s="198"/>
      <c r="E16" s="199"/>
      <c r="F16" s="23"/>
      <c r="G16" s="18"/>
      <c r="H16" s="18"/>
      <c r="I16" s="25"/>
      <c r="J16" s="25"/>
      <c r="K16" s="17"/>
      <c r="L16" s="15"/>
    </row>
    <row r="17" spans="1:16" ht="18" x14ac:dyDescent="0.25">
      <c r="A17" s="155" t="s">
        <v>113</v>
      </c>
      <c r="B17" s="155"/>
      <c r="C17" s="154"/>
      <c r="D17" s="154"/>
      <c r="E17" s="155" t="s">
        <v>5</v>
      </c>
      <c r="F17" s="155"/>
      <c r="G17" s="153"/>
      <c r="H17" s="153"/>
      <c r="I17" s="26"/>
      <c r="J17" s="26"/>
      <c r="K17" s="17"/>
      <c r="L17" s="15"/>
    </row>
    <row r="18" spans="1:16" ht="18" x14ac:dyDescent="0.25">
      <c r="A18" s="18"/>
      <c r="B18" s="18"/>
      <c r="C18" s="214" t="str">
        <f>IF(C17,LOOKUP(C17,'Income Limits'!A7:A12,'Income Limits'!B7:B12),"Enter COAH Region In The Box Above")</f>
        <v>Enter COAH Region In The Box Above</v>
      </c>
      <c r="D18" s="214"/>
      <c r="E18" s="214"/>
      <c r="F18" s="214"/>
      <c r="G18" s="18"/>
      <c r="H18" s="18"/>
      <c r="I18" s="18"/>
      <c r="J18" s="18"/>
      <c r="K18" s="17"/>
      <c r="L18" s="15"/>
    </row>
    <row r="19" spans="1:16" ht="18" x14ac:dyDescent="0.25">
      <c r="A19" s="18"/>
      <c r="B19" s="27"/>
      <c r="C19" s="12"/>
      <c r="D19" s="18"/>
      <c r="E19" s="18"/>
      <c r="F19" s="18"/>
      <c r="G19" s="18"/>
      <c r="H19" s="18"/>
      <c r="I19" s="18"/>
      <c r="J19" s="18"/>
      <c r="K19" s="17"/>
      <c r="L19" s="15"/>
    </row>
    <row r="20" spans="1:16" ht="20.25" x14ac:dyDescent="0.3">
      <c r="A20" s="185" t="s">
        <v>19</v>
      </c>
      <c r="B20" s="186"/>
      <c r="C20" s="186"/>
      <c r="D20" s="186"/>
      <c r="E20" s="187"/>
      <c r="F20" s="18"/>
      <c r="G20" s="18"/>
      <c r="H20" s="18"/>
      <c r="I20" s="18"/>
      <c r="J20" s="18"/>
      <c r="K20" s="18"/>
      <c r="L20" s="18"/>
      <c r="M20" s="18"/>
      <c r="N20" s="18"/>
      <c r="O20" s="17"/>
      <c r="P20" s="15"/>
    </row>
    <row r="21" spans="1:16" ht="18" x14ac:dyDescent="0.25">
      <c r="A21" s="18"/>
      <c r="B21" s="18"/>
      <c r="C21" s="18"/>
      <c r="D21" s="18"/>
      <c r="E21" s="18"/>
      <c r="F21" s="18"/>
      <c r="G21" s="18"/>
      <c r="H21" s="18"/>
      <c r="I21" s="18"/>
      <c r="J21" s="18"/>
      <c r="K21" s="17"/>
      <c r="L21" s="15"/>
    </row>
    <row r="22" spans="1:16" ht="18" x14ac:dyDescent="0.25">
      <c r="A22" s="160" t="s">
        <v>90</v>
      </c>
      <c r="B22" s="160"/>
      <c r="C22" s="28"/>
      <c r="D22" s="181" t="s">
        <v>120</v>
      </c>
      <c r="E22" s="182"/>
      <c r="F22" s="182"/>
      <c r="G22" s="182"/>
      <c r="H22" s="182"/>
      <c r="I22" s="182"/>
      <c r="J22" s="183"/>
      <c r="K22" s="17"/>
      <c r="L22" s="15"/>
    </row>
    <row r="23" spans="1:16" ht="18" x14ac:dyDescent="0.25">
      <c r="A23" s="160" t="s">
        <v>65</v>
      </c>
      <c r="B23" s="160"/>
      <c r="C23" s="29"/>
      <c r="D23" s="22" t="s">
        <v>43</v>
      </c>
      <c r="E23" s="18"/>
      <c r="F23" s="18"/>
      <c r="G23" s="18"/>
      <c r="H23" s="18"/>
      <c r="I23" s="18"/>
      <c r="J23" s="18"/>
      <c r="K23" s="17"/>
      <c r="L23" s="15"/>
    </row>
    <row r="24" spans="1:16" ht="18" x14ac:dyDescent="0.25">
      <c r="A24" s="159" t="s">
        <v>23</v>
      </c>
      <c r="B24" s="159"/>
      <c r="C24" s="30"/>
      <c r="D24" s="184" t="s">
        <v>71</v>
      </c>
      <c r="E24" s="184"/>
      <c r="F24" s="184"/>
      <c r="G24" s="18"/>
      <c r="H24" s="18"/>
      <c r="I24" s="18"/>
      <c r="J24" s="18"/>
      <c r="K24" s="17"/>
      <c r="L24" s="15"/>
    </row>
    <row r="25" spans="1:16" ht="18" x14ac:dyDescent="0.25">
      <c r="A25" s="159" t="s">
        <v>24</v>
      </c>
      <c r="B25" s="159"/>
      <c r="C25" s="28"/>
      <c r="D25" s="184" t="s">
        <v>84</v>
      </c>
      <c r="E25" s="184"/>
      <c r="F25" s="184"/>
      <c r="G25" s="184"/>
      <c r="H25" s="18"/>
      <c r="I25" s="18"/>
      <c r="J25" s="18"/>
      <c r="K25" s="17"/>
      <c r="L25" s="15"/>
    </row>
    <row r="26" spans="1:16" ht="18" x14ac:dyDescent="0.25">
      <c r="A26" s="160" t="s">
        <v>44</v>
      </c>
      <c r="B26" s="160"/>
      <c r="C26" s="29"/>
      <c r="D26" s="22" t="s">
        <v>43</v>
      </c>
      <c r="E26" s="18"/>
      <c r="F26" s="18"/>
      <c r="G26" s="18"/>
      <c r="H26" s="18"/>
      <c r="I26" s="18"/>
      <c r="J26" s="18"/>
      <c r="K26" s="17"/>
      <c r="L26" s="15"/>
    </row>
    <row r="27" spans="1:16" ht="18" x14ac:dyDescent="0.25">
      <c r="A27" s="160" t="s">
        <v>56</v>
      </c>
      <c r="B27" s="160"/>
      <c r="C27" s="31">
        <v>30</v>
      </c>
      <c r="D27" s="179" t="s">
        <v>91</v>
      </c>
      <c r="E27" s="180"/>
      <c r="F27" s="32"/>
      <c r="G27" s="17"/>
      <c r="H27" s="18"/>
      <c r="I27" s="18"/>
      <c r="J27" s="18"/>
      <c r="K27" s="17"/>
      <c r="L27" s="15"/>
    </row>
    <row r="28" spans="1:16" ht="18" x14ac:dyDescent="0.25">
      <c r="A28" s="160" t="s">
        <v>40</v>
      </c>
      <c r="B28" s="160"/>
      <c r="C28" s="33">
        <v>0.05</v>
      </c>
      <c r="D28" s="178" t="s">
        <v>89</v>
      </c>
      <c r="E28" s="178"/>
      <c r="F28" s="31"/>
      <c r="G28" s="31"/>
      <c r="H28" s="18"/>
      <c r="I28" s="18"/>
      <c r="J28" s="18"/>
      <c r="K28" s="17"/>
      <c r="L28" s="15"/>
    </row>
    <row r="29" spans="1:16" ht="18" x14ac:dyDescent="0.25">
      <c r="A29" s="160" t="s">
        <v>41</v>
      </c>
      <c r="B29" s="160"/>
      <c r="C29" s="34">
        <v>7.8</v>
      </c>
      <c r="D29" s="165" t="s">
        <v>57</v>
      </c>
      <c r="E29" s="165"/>
      <c r="F29" s="165"/>
      <c r="G29" s="165"/>
      <c r="H29" s="18"/>
      <c r="I29" s="18"/>
      <c r="J29" s="18"/>
      <c r="K29" s="17"/>
      <c r="L29" s="15"/>
    </row>
    <row r="30" spans="1:16" ht="18" x14ac:dyDescent="0.25">
      <c r="A30" s="18"/>
      <c r="B30" s="18"/>
      <c r="C30" s="12"/>
      <c r="D30" s="18"/>
      <c r="E30" s="18"/>
      <c r="F30" s="18"/>
      <c r="G30" s="18"/>
      <c r="H30" s="18"/>
      <c r="I30" s="18"/>
      <c r="J30" s="18"/>
      <c r="K30" s="17"/>
      <c r="L30" s="15"/>
    </row>
    <row r="31" spans="1:16" ht="18" x14ac:dyDescent="0.25">
      <c r="A31" s="18"/>
      <c r="B31" s="18"/>
      <c r="C31" s="12"/>
      <c r="D31" s="18"/>
      <c r="E31" s="18"/>
      <c r="F31" s="18"/>
      <c r="G31" s="18"/>
      <c r="H31" s="18"/>
      <c r="I31" s="18"/>
      <c r="J31" s="18"/>
      <c r="K31" s="17"/>
      <c r="L31" s="15"/>
    </row>
    <row r="32" spans="1:16" ht="20.25" x14ac:dyDescent="0.3">
      <c r="A32" s="132" t="s">
        <v>59</v>
      </c>
      <c r="B32" s="132"/>
      <c r="C32" s="132"/>
      <c r="D32" s="35"/>
      <c r="E32" s="158" t="s">
        <v>75</v>
      </c>
      <c r="F32" s="132"/>
      <c r="G32" s="132"/>
      <c r="H32" s="132"/>
      <c r="I32" s="36"/>
      <c r="J32" s="36"/>
      <c r="K32" s="17"/>
      <c r="L32" s="15"/>
    </row>
    <row r="33" spans="1:18" ht="18" x14ac:dyDescent="0.25">
      <c r="A33" s="18"/>
      <c r="B33" s="18"/>
      <c r="C33" s="12"/>
      <c r="D33" s="37"/>
      <c r="E33" s="38"/>
      <c r="I33" s="17"/>
      <c r="J33" s="17"/>
      <c r="K33" s="17"/>
      <c r="L33" s="15"/>
    </row>
    <row r="34" spans="1:18" ht="18" x14ac:dyDescent="0.25">
      <c r="A34" s="156" t="s">
        <v>6</v>
      </c>
      <c r="B34" s="157"/>
      <c r="C34" s="39"/>
      <c r="D34" s="40" t="str">
        <f>IF(C34=0,"&lt;--Enter Units","")</f>
        <v>&lt;--Enter Units</v>
      </c>
      <c r="E34" s="41"/>
      <c r="F34" s="167" t="s">
        <v>93</v>
      </c>
      <c r="G34" s="163" t="s">
        <v>94</v>
      </c>
      <c r="H34" s="161" t="s">
        <v>95</v>
      </c>
      <c r="I34" s="42"/>
      <c r="J34" s="42"/>
      <c r="K34" s="17"/>
      <c r="L34" s="15"/>
    </row>
    <row r="35" spans="1:18" ht="18" x14ac:dyDescent="0.25">
      <c r="A35" s="156" t="s">
        <v>68</v>
      </c>
      <c r="B35" s="157"/>
      <c r="C35" s="39"/>
      <c r="D35" s="40" t="str">
        <f>IF(C35=0,"&lt;--Enter Units","")</f>
        <v>&lt;--Enter Units</v>
      </c>
      <c r="E35" s="43"/>
      <c r="F35" s="162"/>
      <c r="G35" s="164"/>
      <c r="H35" s="162"/>
      <c r="I35" s="44"/>
      <c r="J35" s="44"/>
      <c r="K35" s="17"/>
      <c r="L35" s="15"/>
    </row>
    <row r="36" spans="1:18" ht="18" x14ac:dyDescent="0.25">
      <c r="A36" s="156" t="s">
        <v>7</v>
      </c>
      <c r="B36" s="157"/>
      <c r="C36" s="45" t="str">
        <f>IF(C34=0,"",IF(C35=0,"",C35/C34))</f>
        <v/>
      </c>
      <c r="D36" s="37"/>
      <c r="E36" s="46"/>
      <c r="F36" s="44"/>
      <c r="G36" s="17"/>
      <c r="H36" s="44"/>
      <c r="I36" s="45"/>
      <c r="J36" s="45"/>
      <c r="K36" s="17"/>
      <c r="L36" s="47">
        <f>(F37)*(H37)</f>
        <v>0</v>
      </c>
    </row>
    <row r="37" spans="1:18" ht="18" x14ac:dyDescent="0.25">
      <c r="A37" s="156" t="s">
        <v>8</v>
      </c>
      <c r="B37" s="157"/>
      <c r="C37" s="39"/>
      <c r="D37" s="37" t="str">
        <f>FIXED(ROUNDUP(C35/2,0),0)&amp;" Min (50%)"</f>
        <v>0 Min (50%)</v>
      </c>
      <c r="E37" s="43" t="s">
        <v>73</v>
      </c>
      <c r="F37" s="39"/>
      <c r="G37" s="17"/>
      <c r="H37" s="48"/>
      <c r="I37" s="45"/>
      <c r="J37" s="45"/>
      <c r="K37" s="17"/>
      <c r="L37" s="47">
        <f>(F38)*(H38)</f>
        <v>0</v>
      </c>
    </row>
    <row r="38" spans="1:18" ht="18" x14ac:dyDescent="0.25">
      <c r="A38" s="156" t="s">
        <v>9</v>
      </c>
      <c r="B38" s="157"/>
      <c r="C38" s="39"/>
      <c r="D38" s="37" t="str">
        <f>FIXED(ROUNDDOWN(C35/2,0),0)&amp;" Max (50%)"</f>
        <v>0 Max (50%)</v>
      </c>
      <c r="E38" s="43" t="s">
        <v>73</v>
      </c>
      <c r="F38" s="39"/>
      <c r="G38" s="17"/>
      <c r="H38" s="48"/>
      <c r="I38" s="45"/>
      <c r="J38" s="45"/>
      <c r="K38" s="17"/>
      <c r="L38" s="15"/>
    </row>
    <row r="39" spans="1:18" ht="18" x14ac:dyDescent="0.25">
      <c r="A39" s="49"/>
      <c r="B39" s="49"/>
      <c r="C39" s="18" t="s">
        <v>2</v>
      </c>
      <c r="D39" s="37"/>
      <c r="E39" s="43"/>
      <c r="F39" s="166" t="str">
        <f>IF(F37+F38&lt;&gt;C37,"Low-Income Unit Mismatch","")</f>
        <v/>
      </c>
      <c r="G39" s="166"/>
      <c r="H39" s="166"/>
      <c r="I39" s="45"/>
      <c r="J39" s="45"/>
      <c r="K39" s="17"/>
      <c r="L39" s="47">
        <f>(F40)*(H40)</f>
        <v>0</v>
      </c>
    </row>
    <row r="40" spans="1:18" ht="18" x14ac:dyDescent="0.25">
      <c r="A40" s="156" t="s">
        <v>10</v>
      </c>
      <c r="B40" s="157"/>
      <c r="C40" s="39"/>
      <c r="D40" s="50" t="str">
        <f>FIXED(ROUNDDOWN(C35*0.2,0),0)&amp;" Max (20%)"</f>
        <v>0 Max (20%)</v>
      </c>
      <c r="E40" s="43" t="s">
        <v>74</v>
      </c>
      <c r="F40" s="39"/>
      <c r="G40" s="17"/>
      <c r="H40" s="48"/>
      <c r="I40" s="45"/>
      <c r="J40" s="45"/>
      <c r="K40" s="17"/>
      <c r="L40" s="47">
        <f>(F41)*(H41)</f>
        <v>0</v>
      </c>
    </row>
    <row r="41" spans="1:18" ht="18" x14ac:dyDescent="0.25">
      <c r="A41" s="156" t="s">
        <v>11</v>
      </c>
      <c r="B41" s="157"/>
      <c r="C41" s="51"/>
      <c r="D41" s="52" t="str">
        <f>FIXED(ROUNDUP(C35*0.3,0),0)&amp;" Min (30%)"</f>
        <v>0 Min (30%)</v>
      </c>
      <c r="E41" s="43" t="s">
        <v>74</v>
      </c>
      <c r="F41" s="39"/>
      <c r="G41" s="17"/>
      <c r="H41" s="48"/>
      <c r="I41" s="45"/>
      <c r="J41" s="45"/>
      <c r="K41" s="17"/>
      <c r="L41" s="47">
        <f>(F42)*(H42)</f>
        <v>0</v>
      </c>
    </row>
    <row r="42" spans="1:18" ht="18" x14ac:dyDescent="0.25">
      <c r="A42" s="156" t="s">
        <v>12</v>
      </c>
      <c r="B42" s="157"/>
      <c r="C42" s="53"/>
      <c r="D42" s="174" t="str">
        <f>FIXED(ROUNDUP(C35*0.2,0),0)&amp;" Min (20%) Combined"</f>
        <v>0 Min (20%) Combined</v>
      </c>
      <c r="E42" s="43" t="s">
        <v>74</v>
      </c>
      <c r="F42" s="39"/>
      <c r="G42" s="17"/>
      <c r="H42" s="48"/>
      <c r="I42" s="45"/>
      <c r="J42" s="45"/>
      <c r="K42" s="17"/>
      <c r="L42" s="15"/>
    </row>
    <row r="43" spans="1:18" ht="18" x14ac:dyDescent="0.25">
      <c r="A43" s="156" t="s">
        <v>66</v>
      </c>
      <c r="B43" s="157"/>
      <c r="C43" s="53"/>
      <c r="D43" s="175"/>
      <c r="E43" s="54"/>
      <c r="F43" s="166" t="str">
        <f>IF(F40+F41+F42&lt;&gt;C38,"Moderate-Income Unit Mismatch","")</f>
        <v/>
      </c>
      <c r="G43" s="166"/>
      <c r="H43" s="166"/>
      <c r="I43" s="45"/>
      <c r="J43" s="45"/>
      <c r="K43" s="17"/>
      <c r="L43" s="47"/>
    </row>
    <row r="44" spans="1:18" ht="18" x14ac:dyDescent="0.25">
      <c r="A44" s="18"/>
      <c r="B44" s="18"/>
      <c r="C44" s="55">
        <f>SUM(C40:C43)</f>
        <v>0</v>
      </c>
      <c r="D44" s="176" t="s">
        <v>92</v>
      </c>
      <c r="E44" s="177"/>
      <c r="F44" s="56">
        <f>SUM(F37:F42)</f>
        <v>0</v>
      </c>
      <c r="G44" s="20" t="str">
        <f>IF(F44=0,"# of units","AVG  =")</f>
        <v># of units</v>
      </c>
      <c r="H44" s="57" t="str">
        <f>IF(F44=0,"not entered",(SUM(L36:L41)/F44))</f>
        <v>not entered</v>
      </c>
      <c r="I44" s="57"/>
      <c r="J44" s="57"/>
      <c r="K44" s="17"/>
      <c r="L44" s="47"/>
    </row>
    <row r="45" spans="1:18" ht="20.25" x14ac:dyDescent="0.3">
      <c r="A45" s="18"/>
      <c r="B45" s="147" t="str">
        <f>IF(C44&lt;&gt;C35,"Units by bedroom does not equal number of affordable units",IF(F44&lt;&gt;C35,"Units by low/mod split does not equal number of affordable units",""))</f>
        <v/>
      </c>
      <c r="C45" s="147"/>
      <c r="D45" s="147"/>
      <c r="E45" s="147"/>
      <c r="F45" s="147"/>
      <c r="G45" s="147"/>
      <c r="H45" s="147"/>
      <c r="I45" s="17"/>
      <c r="J45" s="17"/>
      <c r="K45" s="17"/>
      <c r="L45" s="15"/>
    </row>
    <row r="46" spans="1:18" ht="20.25" x14ac:dyDescent="0.3">
      <c r="A46" s="18"/>
      <c r="B46" s="171" t="str">
        <f>IF(H44&gt;0.55,"ERROR - Affordability Average in Unit Pricing Strategy may not exceed 55%","")</f>
        <v/>
      </c>
      <c r="C46" s="172"/>
      <c r="D46" s="172"/>
      <c r="E46" s="172"/>
      <c r="F46" s="172"/>
      <c r="G46" s="172"/>
      <c r="H46" s="173"/>
      <c r="I46" s="17"/>
      <c r="J46" s="17"/>
      <c r="K46" s="17"/>
      <c r="L46" s="15"/>
      <c r="R46" s="58"/>
    </row>
    <row r="47" spans="1:18" ht="39" customHeight="1" x14ac:dyDescent="0.3">
      <c r="A47" s="148" t="str">
        <f>IF(SUM(B69:B72)&gt;C37,"PROPOSED DISTRIBUTION OF UNIT TYPES WILL NOT COMPLY WITH RULES.  REALLOCATE THE NUMBER OF UNITS BY UNIT BEDROOM SIZE.","")</f>
        <v/>
      </c>
      <c r="B47" s="149"/>
      <c r="C47" s="149"/>
      <c r="D47" s="149"/>
      <c r="E47" s="149"/>
      <c r="F47" s="149"/>
      <c r="G47" s="149"/>
      <c r="H47" s="150"/>
      <c r="I47" s="17"/>
      <c r="J47" s="17"/>
      <c r="K47" s="17"/>
      <c r="L47" s="15"/>
      <c r="R47" s="58"/>
    </row>
    <row r="48" spans="1:18" ht="20.25" x14ac:dyDescent="0.3">
      <c r="A48" s="132" t="s">
        <v>96</v>
      </c>
      <c r="B48" s="132"/>
      <c r="C48" s="132"/>
      <c r="D48" s="132"/>
      <c r="E48" s="132"/>
      <c r="F48" s="132"/>
      <c r="G48" s="132"/>
      <c r="H48" s="132"/>
      <c r="I48" s="59"/>
      <c r="J48" s="59"/>
      <c r="K48" s="59"/>
      <c r="L48" s="15"/>
      <c r="R48" s="60"/>
    </row>
    <row r="49" spans="1:18" ht="18" x14ac:dyDescent="0.25">
      <c r="A49" s="18"/>
      <c r="B49" s="49"/>
      <c r="C49" s="49"/>
      <c r="D49" s="18"/>
      <c r="E49" s="49"/>
      <c r="F49" s="61"/>
      <c r="G49" s="18"/>
      <c r="H49" s="18"/>
      <c r="I49" s="18"/>
      <c r="J49" s="18"/>
      <c r="K49" s="17"/>
      <c r="L49" s="15"/>
      <c r="R49" s="58"/>
    </row>
    <row r="50" spans="1:18" ht="15.75" customHeight="1" x14ac:dyDescent="0.25">
      <c r="A50" s="18"/>
      <c r="B50" s="62" t="s">
        <v>35</v>
      </c>
      <c r="C50" s="62"/>
      <c r="D50" s="62" t="s">
        <v>86</v>
      </c>
      <c r="E50" s="62"/>
      <c r="F50" s="62" t="s">
        <v>88</v>
      </c>
      <c r="G50" s="62"/>
      <c r="H50" s="62" t="s">
        <v>87</v>
      </c>
      <c r="I50" s="62"/>
      <c r="J50" s="17"/>
      <c r="K50" s="17"/>
      <c r="L50" s="15"/>
      <c r="R50" s="60"/>
    </row>
    <row r="51" spans="1:18" ht="18" x14ac:dyDescent="0.25">
      <c r="A51" s="18"/>
      <c r="B51" s="63"/>
      <c r="C51" s="63"/>
      <c r="D51" s="64"/>
      <c r="E51" s="64"/>
      <c r="F51" s="64"/>
      <c r="G51" s="64"/>
      <c r="H51" s="64"/>
      <c r="I51" s="18"/>
      <c r="J51" s="17"/>
      <c r="K51" s="17"/>
      <c r="L51" s="15"/>
      <c r="R51" s="60"/>
    </row>
    <row r="52" spans="1:18" ht="36" x14ac:dyDescent="0.25">
      <c r="A52" s="65" t="s">
        <v>110</v>
      </c>
      <c r="B52" s="65" t="s">
        <v>67</v>
      </c>
      <c r="C52" s="66"/>
      <c r="D52" s="65" t="s">
        <v>67</v>
      </c>
      <c r="E52" s="66"/>
      <c r="F52" s="65" t="s">
        <v>67</v>
      </c>
      <c r="G52" s="66"/>
      <c r="H52" s="65" t="s">
        <v>67</v>
      </c>
      <c r="I52" s="66"/>
      <c r="J52" s="17"/>
      <c r="K52" s="17"/>
      <c r="L52" s="15"/>
      <c r="N52" s="60"/>
      <c r="R52" s="60"/>
    </row>
    <row r="53" spans="1:18" ht="18" x14ac:dyDescent="0.25">
      <c r="A53" s="49"/>
      <c r="B53" s="49"/>
      <c r="C53" s="18"/>
      <c r="D53" s="49"/>
      <c r="E53" s="18"/>
      <c r="F53" s="18"/>
      <c r="G53" s="18"/>
      <c r="H53" s="18"/>
      <c r="I53" s="18"/>
      <c r="J53" s="17"/>
      <c r="K53" s="17"/>
      <c r="L53" s="67" t="s">
        <v>79</v>
      </c>
      <c r="M53" s="67" t="s">
        <v>78</v>
      </c>
      <c r="N53" s="67" t="s">
        <v>77</v>
      </c>
      <c r="O53" s="67" t="s">
        <v>76</v>
      </c>
      <c r="R53" s="60"/>
    </row>
    <row r="54" spans="1:18" ht="18" x14ac:dyDescent="0.25">
      <c r="A54" s="68">
        <f>$H$37</f>
        <v>0</v>
      </c>
      <c r="B54" s="69" t="str">
        <f>IF($C$18="Enter DCA Region In The Box Above","Enter Region",IF($C$40=0,"N/A",IF(F37=0,"N/A",L54)))</f>
        <v>N/A</v>
      </c>
      <c r="C54" s="70"/>
      <c r="D54" s="69" t="str">
        <f>IF($C$18="Enter DCA Region In The Box Above","Enter Region",IF($C$41=0,"N/A",IF(F37=0,"N/A",M54)))</f>
        <v>N/A</v>
      </c>
      <c r="E54" s="70"/>
      <c r="F54" s="69" t="str">
        <f>IF($C$18="Enter DCA Region In The Box Above","Enter Region",IF($C$42=0,"N/A",IF(F37=0,"N/A",N54)))</f>
        <v>N/A</v>
      </c>
      <c r="G54" s="70"/>
      <c r="H54" s="69" t="str">
        <f>IF($C$18="Enter DCA Region In The Box Above","Enter Region",IF($C$43=0,"N/A",IF(F37=0,"N/A",O54)))</f>
        <v>N/A</v>
      </c>
      <c r="I54" s="71"/>
      <c r="J54" s="17"/>
      <c r="K54" s="17"/>
      <c r="L54" s="72" t="e">
        <f>H97/0.95</f>
        <v>#N/A</v>
      </c>
      <c r="M54" s="73" t="e">
        <f>H109/0.95</f>
        <v>#N/A</v>
      </c>
      <c r="N54" s="73" t="e">
        <f>H121/0.95</f>
        <v>#N/A</v>
      </c>
      <c r="O54" s="73" t="e">
        <f>H133/0.95</f>
        <v>#N/A</v>
      </c>
      <c r="R54" s="60"/>
    </row>
    <row r="55" spans="1:18" ht="18" x14ac:dyDescent="0.25">
      <c r="A55" s="68">
        <f>$H$38</f>
        <v>0</v>
      </c>
      <c r="B55" s="69" t="str">
        <f>IF($C$18="Enter DCA Region In The Box Above","Enter Region",IF($C$40=0,"N/A",IF(F38=0,"N/A",L55)))</f>
        <v>N/A</v>
      </c>
      <c r="C55" s="70"/>
      <c r="D55" s="69" t="str">
        <f>IF($C$18="Enter DCA Region In The Box Above","Enter Region",IF($C$41=0,"N/A",IF(F38=0,"N/A",M55)))</f>
        <v>N/A</v>
      </c>
      <c r="E55" s="70"/>
      <c r="F55" s="69" t="str">
        <f>IF($C$18="Enter DCA Region In The Box Above","Enter Region",IF($C$42=0,"N/A",IF(F38=0,"N/A",N55)))</f>
        <v>N/A</v>
      </c>
      <c r="G55" s="70"/>
      <c r="H55" s="69" t="str">
        <f>IF($C$18="Enter DCA Region In The Box Above","Enter Region",IF($C$43=0,"N/A",IF(F38=0,"N/A",O55)))</f>
        <v>N/A</v>
      </c>
      <c r="I55" s="71"/>
      <c r="J55" s="17"/>
      <c r="K55" s="17"/>
      <c r="L55" s="72" t="e">
        <f>H98/0.95</f>
        <v>#N/A</v>
      </c>
      <c r="M55" s="73" t="e">
        <f>H110/0.95</f>
        <v>#N/A</v>
      </c>
      <c r="N55" s="73" t="e">
        <f>H122/0.95</f>
        <v>#N/A</v>
      </c>
      <c r="O55" s="73" t="e">
        <f>H134/0.95</f>
        <v>#N/A</v>
      </c>
      <c r="R55" s="60"/>
    </row>
    <row r="56" spans="1:18" ht="18" x14ac:dyDescent="0.25">
      <c r="A56" s="18"/>
      <c r="B56" s="74"/>
      <c r="C56" s="75"/>
      <c r="D56" s="74"/>
      <c r="E56" s="75"/>
      <c r="F56" s="74"/>
      <c r="G56" s="75"/>
      <c r="H56" s="74"/>
      <c r="I56" s="76"/>
      <c r="J56" s="17"/>
      <c r="K56" s="17"/>
      <c r="L56" s="77"/>
      <c r="M56" s="73"/>
      <c r="R56" s="60"/>
    </row>
    <row r="57" spans="1:18" ht="18" x14ac:dyDescent="0.25">
      <c r="A57" s="68">
        <f>$H$40</f>
        <v>0</v>
      </c>
      <c r="B57" s="69" t="str">
        <f>IF($C$18="Enter DCA Region In The Box Above","Enter Region",IF($C$40=0,"N/A",IF(F40=0,"N/A",L57)))</f>
        <v>N/A</v>
      </c>
      <c r="C57" s="70"/>
      <c r="D57" s="69" t="str">
        <f>IF($C$18="Enter DCA Region In The Box Above","Enter Region",IF($C$41=0,"N/A",IF(F40=0,"N/A",M57)))</f>
        <v>N/A</v>
      </c>
      <c r="E57" s="70"/>
      <c r="F57" s="69" t="str">
        <f>IF($C$18="Enter DCA Region In The Box Above","Enter Region",IF($C$42=0,"N/A",IF(F40=0,"N/A",N57)))</f>
        <v>N/A</v>
      </c>
      <c r="G57" s="70"/>
      <c r="H57" s="69" t="str">
        <f>IF($C$18="Enter DCA Region In The Box Above","Enter Region",IF($C$43=0,"N/A",IF(F40=0,"N/A",O57)))</f>
        <v>N/A</v>
      </c>
      <c r="I57" s="71"/>
      <c r="J57" s="17"/>
      <c r="K57" s="17"/>
      <c r="L57" s="72" t="e">
        <f>H100/0.95</f>
        <v>#N/A</v>
      </c>
      <c r="M57" s="73" t="e">
        <f>H112/0.95</f>
        <v>#N/A</v>
      </c>
      <c r="N57" s="73" t="e">
        <f>H124/0.95</f>
        <v>#N/A</v>
      </c>
      <c r="O57" s="73" t="e">
        <f>H136/0.95</f>
        <v>#N/A</v>
      </c>
      <c r="R57" s="58"/>
    </row>
    <row r="58" spans="1:18" ht="18" x14ac:dyDescent="0.25">
      <c r="A58" s="68">
        <f>$H$41</f>
        <v>0</v>
      </c>
      <c r="B58" s="69" t="str">
        <f>IF($C$18="Enter DCA Region In The Box Above","Enter Region",IF($C$40=0,"N/A",IF(F41=0,"N/A",L58)))</f>
        <v>N/A</v>
      </c>
      <c r="C58" s="70"/>
      <c r="D58" s="69" t="str">
        <f>IF($C$18="Enter DCA Region In The Box Above","Enter Region",IF($C$41=0,"N/A",IF(F41=0,"N/A",M58)))</f>
        <v>N/A</v>
      </c>
      <c r="E58" s="70"/>
      <c r="F58" s="69" t="str">
        <f>IF($C$18="Enter DCA Region In The Box Above","Enter Region",IF($C$42=0,"N/A",IF(F41=0,"N/A",N58)))</f>
        <v>N/A</v>
      </c>
      <c r="G58" s="70"/>
      <c r="H58" s="69" t="str">
        <f>IF($C$18="Enter DCA Region In The Box Above","Enter Region",IF($C$43=0,"N/A",IF(F41=0,"N/A",O58)))</f>
        <v>N/A</v>
      </c>
      <c r="I58" s="71"/>
      <c r="J58" s="17"/>
      <c r="K58" s="17"/>
      <c r="L58" s="72" t="e">
        <f>H101/0.95</f>
        <v>#N/A</v>
      </c>
      <c r="M58" s="73" t="e">
        <f>H113/0.95</f>
        <v>#N/A</v>
      </c>
      <c r="N58" s="73" t="e">
        <f>H125/0.95</f>
        <v>#N/A</v>
      </c>
      <c r="O58" s="73" t="e">
        <f>H137/0.95</f>
        <v>#N/A</v>
      </c>
      <c r="R58" s="58"/>
    </row>
    <row r="59" spans="1:18" ht="18" x14ac:dyDescent="0.25">
      <c r="A59" s="68">
        <f>$H$42</f>
        <v>0</v>
      </c>
      <c r="B59" s="69" t="str">
        <f>IF($C$18="Enter DCA Region In The Box Above","Enter Region",IF($C$40=0,"N/A",IF(F42=0,"N/A",L59)))</f>
        <v>N/A</v>
      </c>
      <c r="C59" s="70"/>
      <c r="D59" s="69" t="str">
        <f>IF($C$18="Enter DCA Region In The Box Above","Enter Region",IF($C$41=0,"N/A",IF(F42=0,"N/A",M59)))</f>
        <v>N/A</v>
      </c>
      <c r="E59" s="70"/>
      <c r="F59" s="69" t="str">
        <f>IF($C$18="Enter DCA Region In The Box Above","Enter Region",IF($C$42=0,"N/A",IF(F42=0,"N/A",N59)))</f>
        <v>N/A</v>
      </c>
      <c r="G59" s="70"/>
      <c r="H59" s="69" t="str">
        <f>IF($C$18="Enter DCA Region In The Box Above","Enter Region",IF($C$43=0,"N/A",IF(F42=0,"N/A",O59)))</f>
        <v>N/A</v>
      </c>
      <c r="I59" s="71"/>
      <c r="J59" s="17"/>
      <c r="K59" s="17"/>
      <c r="L59" s="72" t="e">
        <f>H102/0.95</f>
        <v>#N/A</v>
      </c>
      <c r="M59" s="73" t="e">
        <f>H114/0.95</f>
        <v>#N/A</v>
      </c>
      <c r="N59" s="73" t="e">
        <f>H126/0.95</f>
        <v>#N/A</v>
      </c>
      <c r="O59" s="73" t="e">
        <f>H138/0.95</f>
        <v>#N/A</v>
      </c>
    </row>
    <row r="60" spans="1:18" s="84" customFormat="1" ht="18" x14ac:dyDescent="0.25">
      <c r="A60" s="78" t="s">
        <v>101</v>
      </c>
      <c r="B60" s="79" t="e">
        <f ca="1">IF($C$18="Enter DCA Region In The Box Above","Enter Region",L60)</f>
        <v>#N/A</v>
      </c>
      <c r="C60" s="79"/>
      <c r="D60" s="80" t="e">
        <f ca="1">IF($C$18="Enter DCA Region In The Box Above","Enter Region",M60)</f>
        <v>#N/A</v>
      </c>
      <c r="E60" s="79"/>
      <c r="F60" s="80" t="e">
        <f ca="1">IF($C$18="Enter DCA Region In The Box Above","Enter Region",N60)</f>
        <v>#N/A</v>
      </c>
      <c r="G60" s="79"/>
      <c r="H60" s="80" t="e">
        <f ca="1">IF($C$18="Enter DCA Region In The Box Above","Enter Region",O60)</f>
        <v>#N/A</v>
      </c>
      <c r="I60" s="79"/>
      <c r="J60" s="81"/>
      <c r="K60" s="81"/>
      <c r="L60" s="82" t="e">
        <f ca="1">H103/0.9</f>
        <v>#N/A</v>
      </c>
      <c r="M60" s="83" t="e">
        <f ca="1">H115/0.9</f>
        <v>#N/A</v>
      </c>
      <c r="N60" s="83" t="e">
        <f ca="1">H127/0.9</f>
        <v>#N/A</v>
      </c>
      <c r="O60" s="83" t="e">
        <f ca="1">H139/0.9</f>
        <v>#N/A</v>
      </c>
    </row>
    <row r="61" spans="1:18" ht="18" x14ac:dyDescent="0.25">
      <c r="A61" s="66"/>
      <c r="B61" s="70"/>
      <c r="C61" s="70"/>
      <c r="D61" s="70"/>
      <c r="E61" s="70"/>
      <c r="F61" s="70"/>
      <c r="G61" s="70"/>
      <c r="H61" s="70"/>
      <c r="I61" s="71"/>
      <c r="J61" s="17"/>
      <c r="K61" s="17"/>
      <c r="L61" s="72"/>
      <c r="M61" s="73"/>
      <c r="N61" s="73"/>
      <c r="O61" s="73"/>
    </row>
    <row r="62" spans="1:18" ht="20.25" x14ac:dyDescent="0.3">
      <c r="A62" s="137" t="s">
        <v>85</v>
      </c>
      <c r="B62" s="137"/>
      <c r="C62" s="137"/>
      <c r="D62" s="137"/>
      <c r="E62" s="137"/>
      <c r="F62" s="137"/>
      <c r="G62" s="137"/>
      <c r="H62" s="137"/>
      <c r="I62" s="137"/>
      <c r="J62" s="137"/>
      <c r="K62" s="17"/>
      <c r="L62" s="72"/>
      <c r="M62" s="73"/>
      <c r="N62" s="73"/>
      <c r="O62" s="73"/>
    </row>
    <row r="63" spans="1:18" ht="20.25" x14ac:dyDescent="0.3">
      <c r="A63" s="85"/>
      <c r="B63" s="85"/>
      <c r="C63" s="85"/>
      <c r="D63" s="85"/>
      <c r="E63" s="85"/>
      <c r="F63" s="85"/>
      <c r="G63" s="85"/>
      <c r="H63" s="85"/>
      <c r="I63" s="85"/>
      <c r="J63" s="85"/>
      <c r="K63" s="17"/>
      <c r="L63" s="72"/>
      <c r="M63" s="73"/>
      <c r="N63" s="73"/>
      <c r="O63" s="73"/>
    </row>
    <row r="64" spans="1:18" ht="171.75" customHeight="1" x14ac:dyDescent="0.2">
      <c r="A64" s="168" t="s">
        <v>114</v>
      </c>
      <c r="B64" s="169"/>
      <c r="C64" s="169"/>
      <c r="D64" s="169"/>
      <c r="E64" s="169"/>
      <c r="F64" s="169"/>
      <c r="G64" s="169"/>
      <c r="H64" s="169"/>
      <c r="I64" s="169"/>
      <c r="J64" s="170"/>
      <c r="K64" s="17"/>
      <c r="L64" s="72"/>
      <c r="M64" s="73"/>
      <c r="N64" s="73"/>
      <c r="O64" s="73"/>
    </row>
    <row r="65" spans="1:15" ht="18" x14ac:dyDescent="0.25">
      <c r="A65" s="17"/>
      <c r="B65" s="86"/>
      <c r="C65" s="86"/>
      <c r="D65" s="86"/>
      <c r="E65" s="86"/>
      <c r="F65" s="86"/>
      <c r="G65" s="86"/>
      <c r="H65" s="86"/>
      <c r="I65" s="86"/>
      <c r="J65" s="17"/>
      <c r="K65" s="17"/>
      <c r="L65" s="72"/>
      <c r="M65" s="73"/>
      <c r="N65" s="73"/>
      <c r="O65" s="73"/>
    </row>
    <row r="66" spans="1:15" ht="18" x14ac:dyDescent="0.25">
      <c r="A66" s="17"/>
      <c r="B66" s="138" t="s">
        <v>98</v>
      </c>
      <c r="C66" s="138"/>
      <c r="D66" s="138"/>
      <c r="E66" s="139"/>
      <c r="F66" s="140" t="s">
        <v>98</v>
      </c>
      <c r="G66" s="138"/>
      <c r="H66" s="138"/>
      <c r="I66" s="138"/>
      <c r="J66" s="138"/>
      <c r="K66" s="17"/>
      <c r="L66" s="72"/>
      <c r="M66" s="73"/>
      <c r="N66" s="73"/>
      <c r="O66" s="73"/>
    </row>
    <row r="67" spans="1:15" ht="18" x14ac:dyDescent="0.25">
      <c r="A67" s="66"/>
      <c r="B67" s="138" t="s">
        <v>99</v>
      </c>
      <c r="C67" s="138"/>
      <c r="D67" s="138"/>
      <c r="E67" s="139"/>
      <c r="F67" s="140" t="s">
        <v>100</v>
      </c>
      <c r="G67" s="138"/>
      <c r="H67" s="138"/>
      <c r="I67" s="138"/>
      <c r="J67" s="138"/>
      <c r="K67" s="17"/>
      <c r="L67" s="72"/>
      <c r="M67" s="73"/>
      <c r="N67" s="73"/>
      <c r="O67" s="73"/>
    </row>
    <row r="68" spans="1:15" ht="36" x14ac:dyDescent="0.25">
      <c r="A68" s="18"/>
      <c r="B68" s="87" t="s">
        <v>83</v>
      </c>
      <c r="C68" s="87"/>
      <c r="D68" s="88">
        <f>H37</f>
        <v>0</v>
      </c>
      <c r="E68" s="89">
        <f>H38</f>
        <v>0</v>
      </c>
      <c r="F68" s="90" t="s">
        <v>82</v>
      </c>
      <c r="G68" s="18"/>
      <c r="H68" s="91">
        <f>H40</f>
        <v>0</v>
      </c>
      <c r="I68" s="91">
        <f>H41</f>
        <v>0</v>
      </c>
      <c r="J68" s="91">
        <f>H42</f>
        <v>0</v>
      </c>
      <c r="K68" s="17"/>
      <c r="L68" s="72"/>
      <c r="M68" s="73"/>
      <c r="N68" s="73"/>
      <c r="O68" s="73"/>
    </row>
    <row r="69" spans="1:15" ht="18" x14ac:dyDescent="0.25">
      <c r="A69" s="92" t="s">
        <v>79</v>
      </c>
      <c r="B69" s="93">
        <f>ROUNDUP(C40/2,0)</f>
        <v>0</v>
      </c>
      <c r="C69" s="94">
        <f>D69+E69</f>
        <v>0</v>
      </c>
      <c r="D69" s="95"/>
      <c r="E69" s="96"/>
      <c r="F69" s="97">
        <f>C40-B69</f>
        <v>0</v>
      </c>
      <c r="G69" s="98">
        <f>SUM(H69:J69)</f>
        <v>0</v>
      </c>
      <c r="H69" s="95"/>
      <c r="I69" s="95"/>
      <c r="J69" s="95"/>
      <c r="K69" s="17"/>
      <c r="L69" s="72"/>
      <c r="M69" s="73"/>
      <c r="N69" s="73"/>
      <c r="O69" s="73"/>
    </row>
    <row r="70" spans="1:15" ht="18" x14ac:dyDescent="0.25">
      <c r="A70" s="92" t="s">
        <v>78</v>
      </c>
      <c r="B70" s="93">
        <f>ROUNDUP(C41/2,0)</f>
        <v>0</v>
      </c>
      <c r="C70" s="94">
        <f>D70+E70</f>
        <v>0</v>
      </c>
      <c r="D70" s="95"/>
      <c r="E70" s="96"/>
      <c r="F70" s="97">
        <f>C41-B70</f>
        <v>0</v>
      </c>
      <c r="G70" s="98">
        <f>SUM(H70:J70)</f>
        <v>0</v>
      </c>
      <c r="H70" s="95"/>
      <c r="I70" s="95"/>
      <c r="J70" s="95"/>
      <c r="K70" s="17"/>
      <c r="L70" s="72"/>
      <c r="M70" s="73"/>
      <c r="N70" s="73"/>
      <c r="O70" s="73"/>
    </row>
    <row r="71" spans="1:15" ht="18" x14ac:dyDescent="0.25">
      <c r="A71" s="92" t="s">
        <v>77</v>
      </c>
      <c r="B71" s="93">
        <f>ROUNDUP(C42/2,0)</f>
        <v>0</v>
      </c>
      <c r="C71" s="94">
        <f>D71+E71</f>
        <v>0</v>
      </c>
      <c r="D71" s="95"/>
      <c r="E71" s="96"/>
      <c r="F71" s="97">
        <f>C42-B71</f>
        <v>0</v>
      </c>
      <c r="G71" s="98">
        <f>SUM(H71:J71)</f>
        <v>0</v>
      </c>
      <c r="H71" s="95"/>
      <c r="I71" s="95"/>
      <c r="J71" s="95"/>
      <c r="K71" s="17"/>
      <c r="L71" s="72"/>
      <c r="M71" s="73"/>
      <c r="N71" s="73"/>
      <c r="O71" s="73"/>
    </row>
    <row r="72" spans="1:15" ht="18" x14ac:dyDescent="0.25">
      <c r="A72" s="92" t="s">
        <v>76</v>
      </c>
      <c r="B72" s="93">
        <f>ROUNDUP(C43/2,0)</f>
        <v>0</v>
      </c>
      <c r="C72" s="94">
        <f>D72+E72</f>
        <v>0</v>
      </c>
      <c r="D72" s="95"/>
      <c r="E72" s="96"/>
      <c r="F72" s="97">
        <f>C43-B72</f>
        <v>0</v>
      </c>
      <c r="G72" s="98">
        <f>SUM(H72:J72)</f>
        <v>0</v>
      </c>
      <c r="H72" s="95"/>
      <c r="I72" s="95"/>
      <c r="J72" s="95"/>
      <c r="K72" s="17"/>
      <c r="L72" s="72"/>
      <c r="M72" s="73"/>
      <c r="N72" s="73"/>
      <c r="O72" s="73"/>
    </row>
    <row r="73" spans="1:15" ht="36" x14ac:dyDescent="0.25">
      <c r="A73" s="18"/>
      <c r="B73" s="130" t="str">
        <f>"Total: "&amp;TEXT(SUM(B69:B72),"0")</f>
        <v>Total: 0</v>
      </c>
      <c r="C73" s="99" t="s">
        <v>81</v>
      </c>
      <c r="D73" s="94">
        <f>SUM(D69:D72)</f>
        <v>0</v>
      </c>
      <c r="E73" s="100">
        <f>SUM(E69:E72)</f>
        <v>0</v>
      </c>
      <c r="F73" s="130" t="str">
        <f>"Total: "&amp;TEXT(SUM(F69:F72),"0")</f>
        <v>Total: 0</v>
      </c>
      <c r="G73" s="101" t="s">
        <v>80</v>
      </c>
      <c r="H73" s="98">
        <f>SUM(H69:H72)</f>
        <v>0</v>
      </c>
      <c r="I73" s="98">
        <f>SUM(I69:I72)</f>
        <v>0</v>
      </c>
      <c r="J73" s="98">
        <f>SUM(J69:J72)</f>
        <v>0</v>
      </c>
      <c r="K73" s="17"/>
      <c r="L73" s="72"/>
      <c r="M73" s="73"/>
      <c r="N73" s="73"/>
      <c r="O73" s="73"/>
    </row>
    <row r="74" spans="1:15" ht="42.75" customHeight="1" x14ac:dyDescent="0.25">
      <c r="A74" s="18"/>
      <c r="B74" s="151" t="str">
        <f>IF(D73&gt;D74,"Too many "&amp;TEXT(D68,"0%")&amp;" units entered",IF(E73&gt;E74,"Too many "&amp;TEXT(E68,"0%")&amp;" units enetered",""))</f>
        <v/>
      </c>
      <c r="C74" s="152"/>
      <c r="D74" s="102">
        <f>F37</f>
        <v>0</v>
      </c>
      <c r="E74" s="103">
        <f>F38</f>
        <v>0</v>
      </c>
      <c r="F74" s="151" t="str">
        <f>IF(H73&gt;H74,"Too many "&amp;TEXT(H68,"0%")&amp;" units entered",IF(I73&gt;I74,"Too many "&amp;TEXT(I68,"0%")&amp;" units enetered",IF(J73&gt;J74,"Too many "&amp;TEXT(J68,"0%")&amp;" units enetered","")))</f>
        <v/>
      </c>
      <c r="G74" s="152"/>
      <c r="H74" s="102">
        <f>F40</f>
        <v>0</v>
      </c>
      <c r="I74" s="102">
        <f>F41</f>
        <v>0</v>
      </c>
      <c r="J74" s="102">
        <f>F42</f>
        <v>0</v>
      </c>
      <c r="K74" s="17"/>
      <c r="L74" s="72"/>
      <c r="M74" s="73"/>
      <c r="N74" s="73"/>
      <c r="O74" s="73"/>
    </row>
    <row r="75" spans="1:15" ht="43.5" customHeight="1" x14ac:dyDescent="0.3">
      <c r="A75" s="133" t="str">
        <f>IF(A47&lt;&gt;"","PROPOSED DISTRIBUTION OF UNIT TYPES WILL NOT COMPLY WITH RULES.  REALLOCATE THE NUMBER OF UNITS BY UNIT BEDROOM SIZE IN PROJECT DATA SECTION.","")</f>
        <v/>
      </c>
      <c r="B75" s="134"/>
      <c r="C75" s="134"/>
      <c r="D75" s="134"/>
      <c r="E75" s="134"/>
      <c r="F75" s="134"/>
      <c r="G75" s="134"/>
      <c r="H75" s="134"/>
      <c r="I75" s="134"/>
      <c r="J75" s="135"/>
      <c r="K75" s="18"/>
      <c r="L75" s="72"/>
      <c r="M75" s="73"/>
      <c r="N75" s="73"/>
      <c r="O75" s="73"/>
    </row>
    <row r="76" spans="1:15" ht="23.25" customHeight="1" x14ac:dyDescent="0.2">
      <c r="A76" s="17"/>
      <c r="B76" s="17"/>
      <c r="C76" s="17"/>
      <c r="D76" s="17"/>
      <c r="E76" s="17"/>
      <c r="F76" s="17"/>
      <c r="G76" s="17"/>
      <c r="H76" s="17"/>
      <c r="I76" s="17"/>
      <c r="J76" s="17"/>
      <c r="K76" s="17"/>
      <c r="L76" s="72"/>
      <c r="M76" s="73"/>
      <c r="N76" s="73"/>
      <c r="O76" s="73"/>
    </row>
    <row r="77" spans="1:15" ht="20.25" x14ac:dyDescent="0.3">
      <c r="A77" s="17"/>
      <c r="B77" s="137" t="s">
        <v>112</v>
      </c>
      <c r="C77" s="137"/>
      <c r="D77" s="137"/>
      <c r="E77" s="137"/>
      <c r="F77" s="137"/>
      <c r="G77" s="137"/>
      <c r="H77" s="137"/>
      <c r="I77" s="86"/>
      <c r="J77" s="17"/>
      <c r="K77" s="17"/>
      <c r="L77" s="72"/>
      <c r="M77" s="73"/>
      <c r="N77" s="73"/>
      <c r="O77" s="73"/>
    </row>
    <row r="78" spans="1:15" ht="20.25" x14ac:dyDescent="0.3">
      <c r="A78" s="17"/>
      <c r="B78" s="85"/>
      <c r="C78" s="85"/>
      <c r="D78" s="85"/>
      <c r="E78" s="85"/>
      <c r="F78" s="85"/>
      <c r="G78" s="85"/>
      <c r="H78" s="85"/>
      <c r="I78" s="86"/>
      <c r="J78" s="17"/>
      <c r="K78" s="17"/>
      <c r="L78" s="72"/>
      <c r="M78" s="73"/>
      <c r="N78" s="73"/>
      <c r="O78" s="73"/>
    </row>
    <row r="79" spans="1:15" ht="18" x14ac:dyDescent="0.25">
      <c r="A79" s="17"/>
      <c r="B79" s="18"/>
      <c r="C79" s="17"/>
      <c r="D79" s="144" t="s">
        <v>104</v>
      </c>
      <c r="E79" s="145"/>
      <c r="F79" s="145"/>
      <c r="G79" s="145"/>
      <c r="H79" s="146"/>
      <c r="I79" s="18"/>
      <c r="J79" s="18"/>
      <c r="K79" s="18"/>
      <c r="L79" s="72"/>
      <c r="M79" s="73"/>
      <c r="N79" s="73"/>
      <c r="O79" s="73"/>
    </row>
    <row r="80" spans="1:15" ht="18" x14ac:dyDescent="0.25">
      <c r="A80" s="17"/>
      <c r="B80" s="18"/>
      <c r="C80" s="86" t="s">
        <v>34</v>
      </c>
      <c r="D80" s="91">
        <f>H37</f>
        <v>0</v>
      </c>
      <c r="E80" s="91">
        <f>H38</f>
        <v>0</v>
      </c>
      <c r="F80" s="91">
        <f>H40</f>
        <v>0</v>
      </c>
      <c r="G80" s="91">
        <f>H41</f>
        <v>0</v>
      </c>
      <c r="H80" s="91">
        <f>H42</f>
        <v>0</v>
      </c>
      <c r="I80" s="17"/>
      <c r="J80" s="17"/>
      <c r="K80" s="17"/>
      <c r="L80" s="72"/>
      <c r="M80" s="73"/>
      <c r="N80" s="73"/>
      <c r="O80" s="73"/>
    </row>
    <row r="81" spans="1:18" ht="18" x14ac:dyDescent="0.25">
      <c r="A81" s="17"/>
      <c r="B81" s="92" t="s">
        <v>79</v>
      </c>
      <c r="C81" s="104">
        <f>SUM(D81:H81)</f>
        <v>0</v>
      </c>
      <c r="D81" s="104">
        <f>D69*B54</f>
        <v>0</v>
      </c>
      <c r="E81" s="104">
        <f>E69*B55</f>
        <v>0</v>
      </c>
      <c r="F81" s="104">
        <f>H69*B57</f>
        <v>0</v>
      </c>
      <c r="G81" s="104">
        <f>I69*B58</f>
        <v>0</v>
      </c>
      <c r="H81" s="104">
        <f>J69*B59</f>
        <v>0</v>
      </c>
      <c r="I81" s="17"/>
      <c r="J81" s="17"/>
      <c r="K81" s="17"/>
      <c r="L81" s="72"/>
      <c r="M81" s="73"/>
      <c r="N81" s="73"/>
      <c r="O81" s="73"/>
    </row>
    <row r="82" spans="1:18" ht="18" x14ac:dyDescent="0.25">
      <c r="A82" s="17"/>
      <c r="B82" s="92" t="s">
        <v>78</v>
      </c>
      <c r="C82" s="104">
        <f>SUM(D82:H82)</f>
        <v>0</v>
      </c>
      <c r="D82" s="104">
        <f>D70*D54</f>
        <v>0</v>
      </c>
      <c r="E82" s="104">
        <f>E70*D55</f>
        <v>0</v>
      </c>
      <c r="F82" s="104">
        <f>H70*D57</f>
        <v>0</v>
      </c>
      <c r="G82" s="104">
        <f>I70*D58</f>
        <v>0</v>
      </c>
      <c r="H82" s="104">
        <f>J70*D59</f>
        <v>0</v>
      </c>
      <c r="I82" s="17"/>
      <c r="J82" s="17"/>
      <c r="K82" s="17"/>
      <c r="L82" s="72"/>
      <c r="M82" s="73"/>
      <c r="N82" s="73"/>
      <c r="O82" s="73"/>
    </row>
    <row r="83" spans="1:18" ht="18" x14ac:dyDescent="0.25">
      <c r="A83" s="17"/>
      <c r="B83" s="92" t="s">
        <v>77</v>
      </c>
      <c r="C83" s="104">
        <f>SUM(D83:H83)</f>
        <v>0</v>
      </c>
      <c r="D83" s="104">
        <f>D71*F54</f>
        <v>0</v>
      </c>
      <c r="E83" s="104">
        <f>E71*F55</f>
        <v>0</v>
      </c>
      <c r="F83" s="104">
        <f>H71*F57</f>
        <v>0</v>
      </c>
      <c r="G83" s="104">
        <f>I71*F58</f>
        <v>0</v>
      </c>
      <c r="H83" s="104">
        <f>J71*F59</f>
        <v>0</v>
      </c>
      <c r="I83" s="17"/>
      <c r="J83" s="17"/>
      <c r="K83" s="17"/>
      <c r="L83" s="72"/>
      <c r="M83" s="73"/>
      <c r="N83" s="73"/>
      <c r="O83" s="73"/>
    </row>
    <row r="84" spans="1:18" ht="18" x14ac:dyDescent="0.25">
      <c r="A84" s="17"/>
      <c r="B84" s="92" t="s">
        <v>76</v>
      </c>
      <c r="C84" s="104">
        <f>SUM(D84:H84)</f>
        <v>0</v>
      </c>
      <c r="D84" s="104">
        <f>D72*H54</f>
        <v>0</v>
      </c>
      <c r="E84" s="104">
        <f>E72*H55</f>
        <v>0</v>
      </c>
      <c r="F84" s="104">
        <f>H72*H59</f>
        <v>0</v>
      </c>
      <c r="G84" s="104">
        <f>I72*H58</f>
        <v>0</v>
      </c>
      <c r="H84" s="104">
        <f>J72*H59</f>
        <v>0</v>
      </c>
      <c r="I84" s="17"/>
      <c r="J84" s="17"/>
      <c r="K84" s="17"/>
      <c r="L84" s="72"/>
      <c r="M84" s="73"/>
      <c r="N84" s="73"/>
      <c r="O84" s="73"/>
    </row>
    <row r="85" spans="1:18" ht="18" x14ac:dyDescent="0.25">
      <c r="A85" s="17"/>
      <c r="B85" s="18"/>
      <c r="C85" s="104"/>
      <c r="D85" s="104"/>
      <c r="E85" s="104"/>
      <c r="F85" s="104"/>
      <c r="G85" s="104"/>
      <c r="H85" s="104"/>
      <c r="I85" s="17"/>
      <c r="J85" s="17"/>
      <c r="K85" s="17"/>
      <c r="L85" s="15"/>
    </row>
    <row r="86" spans="1:18" ht="18" x14ac:dyDescent="0.25">
      <c r="A86" s="17"/>
      <c r="B86" s="49" t="s">
        <v>34</v>
      </c>
      <c r="C86" s="105">
        <f>SUM(D86:H86)</f>
        <v>0</v>
      </c>
      <c r="D86" s="104">
        <f>SUM(D81:D84)</f>
        <v>0</v>
      </c>
      <c r="E86" s="104">
        <f>SUM(E81:E84)</f>
        <v>0</v>
      </c>
      <c r="F86" s="104">
        <f>SUM(F81:F84)</f>
        <v>0</v>
      </c>
      <c r="G86" s="104">
        <f>SUM(G81:G84)</f>
        <v>0</v>
      </c>
      <c r="H86" s="104">
        <f>SUM(H81:H84)</f>
        <v>0</v>
      </c>
      <c r="I86" s="17"/>
      <c r="J86" s="17"/>
      <c r="K86" s="17"/>
      <c r="L86" s="15"/>
    </row>
    <row r="87" spans="1:18" ht="18" x14ac:dyDescent="0.25">
      <c r="A87" s="49"/>
      <c r="B87" s="49"/>
      <c r="C87" s="106"/>
      <c r="D87" s="45"/>
      <c r="E87" s="18"/>
      <c r="F87" s="18"/>
      <c r="G87" s="18"/>
      <c r="H87" s="18"/>
      <c r="I87" s="18"/>
      <c r="J87" s="18"/>
      <c r="K87" s="17"/>
      <c r="L87" s="15"/>
    </row>
    <row r="88" spans="1:18" ht="18" x14ac:dyDescent="0.25">
      <c r="A88" s="49"/>
      <c r="B88" s="49"/>
      <c r="C88" s="106"/>
      <c r="D88" s="45"/>
      <c r="E88" s="18"/>
      <c r="F88" s="18"/>
      <c r="G88" s="18"/>
      <c r="H88" s="18"/>
      <c r="I88" s="18"/>
      <c r="J88" s="18"/>
      <c r="K88" s="17"/>
      <c r="L88" s="15"/>
    </row>
    <row r="89" spans="1:18" ht="20.25" x14ac:dyDescent="0.3">
      <c r="A89" s="137" t="s">
        <v>33</v>
      </c>
      <c r="B89" s="137"/>
      <c r="C89" s="137"/>
      <c r="D89" s="137"/>
      <c r="E89" s="137"/>
      <c r="F89" s="137"/>
      <c r="G89" s="137"/>
      <c r="H89" s="137"/>
      <c r="I89" s="59"/>
      <c r="J89" s="59"/>
      <c r="K89" s="59"/>
      <c r="L89" s="15"/>
    </row>
    <row r="90" spans="1:18" ht="18" customHeight="1" x14ac:dyDescent="0.25">
      <c r="A90" s="143" t="s">
        <v>97</v>
      </c>
      <c r="B90" s="143"/>
      <c r="C90" s="143"/>
      <c r="D90" s="143"/>
      <c r="E90" s="143"/>
      <c r="F90" s="143"/>
      <c r="G90" s="143"/>
      <c r="H90" s="143"/>
      <c r="I90" s="59"/>
      <c r="J90" s="59"/>
      <c r="K90" s="59"/>
      <c r="L90" s="15"/>
    </row>
    <row r="91" spans="1:18" ht="18" customHeight="1" x14ac:dyDescent="0.25">
      <c r="A91" s="18"/>
      <c r="B91" s="86"/>
      <c r="C91" s="86"/>
      <c r="D91" s="86"/>
      <c r="E91" s="86"/>
      <c r="F91" s="86"/>
      <c r="G91" s="86"/>
      <c r="H91" s="18"/>
      <c r="I91" s="18"/>
      <c r="J91" s="18"/>
      <c r="K91" s="17"/>
      <c r="L91" s="15"/>
    </row>
    <row r="92" spans="1:18" ht="18" x14ac:dyDescent="0.25">
      <c r="A92" s="18"/>
      <c r="B92" s="18"/>
      <c r="C92" s="49"/>
      <c r="D92" s="18"/>
      <c r="E92" s="18"/>
      <c r="F92" s="18"/>
      <c r="G92" s="18"/>
      <c r="H92" s="18"/>
      <c r="I92" s="18"/>
      <c r="J92" s="18"/>
      <c r="K92" s="17"/>
      <c r="L92" s="15"/>
    </row>
    <row r="93" spans="1:18" ht="18" x14ac:dyDescent="0.2">
      <c r="A93" s="131" t="s">
        <v>115</v>
      </c>
      <c r="B93" s="131"/>
      <c r="C93" s="131"/>
      <c r="D93" s="131"/>
      <c r="E93" s="131"/>
      <c r="F93" s="131"/>
      <c r="G93" s="131"/>
      <c r="H93" s="131"/>
      <c r="I93" s="107"/>
      <c r="J93" s="107"/>
      <c r="K93" s="107"/>
      <c r="L93" s="15"/>
    </row>
    <row r="94" spans="1:18" ht="18" x14ac:dyDescent="0.25">
      <c r="A94" s="18"/>
      <c r="B94" s="18"/>
      <c r="C94" s="62"/>
      <c r="D94" s="62"/>
      <c r="E94" s="62"/>
      <c r="F94" s="62"/>
      <c r="G94" s="62"/>
      <c r="H94" s="18"/>
      <c r="I94" s="18"/>
      <c r="J94" s="18"/>
      <c r="K94" s="17"/>
      <c r="L94" s="15"/>
      <c r="R94" s="108"/>
    </row>
    <row r="95" spans="1:18" ht="36" x14ac:dyDescent="0.25">
      <c r="A95" s="109" t="str">
        <f>A52</f>
        <v>% of Median
Unit Priced at</v>
      </c>
      <c r="B95" s="110" t="s">
        <v>34</v>
      </c>
      <c r="C95" s="109" t="s">
        <v>109</v>
      </c>
      <c r="D95" s="109" t="s">
        <v>105</v>
      </c>
      <c r="E95" s="109" t="s">
        <v>106</v>
      </c>
      <c r="F95" s="110" t="s">
        <v>21</v>
      </c>
      <c r="G95" s="109" t="s">
        <v>107</v>
      </c>
      <c r="H95" s="109" t="s">
        <v>108</v>
      </c>
      <c r="I95" s="66"/>
      <c r="J95" s="66"/>
      <c r="K95" s="17"/>
      <c r="L95" s="15"/>
      <c r="Q95" s="16" t="s">
        <v>27</v>
      </c>
    </row>
    <row r="96" spans="1:18" ht="18" x14ac:dyDescent="0.25">
      <c r="A96" s="18"/>
      <c r="B96" s="111"/>
      <c r="C96" s="111"/>
      <c r="D96" s="111"/>
      <c r="E96" s="111"/>
      <c r="F96" s="111"/>
      <c r="G96" s="111"/>
      <c r="H96" s="111"/>
      <c r="I96" s="111"/>
      <c r="J96" s="111"/>
      <c r="K96" s="17"/>
      <c r="L96" s="15"/>
      <c r="Q96" s="16" t="s">
        <v>27</v>
      </c>
      <c r="R96" s="108"/>
    </row>
    <row r="97" spans="1:18" ht="18" x14ac:dyDescent="0.25">
      <c r="A97" s="68">
        <f>$H$37</f>
        <v>0</v>
      </c>
      <c r="B97" s="111" t="e">
        <f>(0.28)*((($C$159)+($D$159))/2)/12</f>
        <v>#N/A</v>
      </c>
      <c r="C97" s="111" t="e">
        <f>IF(B97=0,0,($C$23))</f>
        <v>#N/A</v>
      </c>
      <c r="D97" s="111" t="e">
        <f>IF(B97=0,0,($C$26))</f>
        <v>#N/A</v>
      </c>
      <c r="E97" s="111">
        <f>(((B54)*(C$25))/100)*((C$24)/12)</f>
        <v>0</v>
      </c>
      <c r="F97" s="111">
        <f>((B54*0.95)/1000)*((C$29)/12)</f>
        <v>0</v>
      </c>
      <c r="G97" s="111" t="e">
        <f>(B97)-C97-D97-E97-F97</f>
        <v>#N/A</v>
      </c>
      <c r="H97" s="111" t="e">
        <f>PV($C$22/12,$C$27*12,-G97)</f>
        <v>#N/A</v>
      </c>
      <c r="I97" s="111"/>
      <c r="J97" s="111"/>
      <c r="K97" s="17"/>
      <c r="L97" s="15"/>
      <c r="Q97" s="16" t="s">
        <v>27</v>
      </c>
    </row>
    <row r="98" spans="1:18" ht="18" x14ac:dyDescent="0.25">
      <c r="A98" s="68">
        <f>$H$38</f>
        <v>0</v>
      </c>
      <c r="B98" s="111" t="e">
        <f>(0.28)*((($C$160)+($D$160))/2)/12</f>
        <v>#N/A</v>
      </c>
      <c r="C98" s="111" t="e">
        <f>IF(B98=0,0,($C$23))</f>
        <v>#N/A</v>
      </c>
      <c r="D98" s="111" t="e">
        <f>IF(B98=0,0,($C$26))</f>
        <v>#N/A</v>
      </c>
      <c r="E98" s="111">
        <f>(((B55)*(C$25))/100)*((C$24)/12)</f>
        <v>0</v>
      </c>
      <c r="F98" s="111">
        <f>((B55*0.95)/1000)*((C$29)/12)</f>
        <v>0</v>
      </c>
      <c r="G98" s="111" t="e">
        <f>(B98)-C98-D98-E98-F98</f>
        <v>#N/A</v>
      </c>
      <c r="H98" s="111" t="e">
        <f>PV($C$22/12,$C$27*12,-G98)</f>
        <v>#N/A</v>
      </c>
      <c r="I98" s="111"/>
      <c r="J98" s="111"/>
      <c r="K98" s="17"/>
      <c r="L98" s="15"/>
    </row>
    <row r="99" spans="1:18" ht="18" x14ac:dyDescent="0.25">
      <c r="A99" s="18"/>
      <c r="B99" s="111"/>
      <c r="C99" s="111"/>
      <c r="D99" s="111"/>
      <c r="E99" s="111"/>
      <c r="F99" s="111"/>
      <c r="G99" s="111"/>
      <c r="H99" s="111"/>
      <c r="I99" s="111"/>
      <c r="J99" s="111"/>
      <c r="K99" s="17"/>
      <c r="L99" s="15"/>
      <c r="Q99" s="16" t="s">
        <v>27</v>
      </c>
      <c r="R99" s="108"/>
    </row>
    <row r="100" spans="1:18" ht="18" x14ac:dyDescent="0.25">
      <c r="A100" s="68">
        <f>$H$40</f>
        <v>0</v>
      </c>
      <c r="B100" s="111" t="e">
        <f>(0.28)*((($C$162)+($D$162))/2)/12</f>
        <v>#N/A</v>
      </c>
      <c r="C100" s="111" t="e">
        <f>IF(B100=0,0,($C$23))</f>
        <v>#N/A</v>
      </c>
      <c r="D100" s="111" t="e">
        <f>IF(B100=0,0,($C$26))</f>
        <v>#N/A</v>
      </c>
      <c r="E100" s="111">
        <f>(((B57)*(C$25))/100)*((C$24)/12)</f>
        <v>0</v>
      </c>
      <c r="F100" s="111">
        <f>((B57*0.95)/1000)*((C$29)/12)</f>
        <v>0</v>
      </c>
      <c r="G100" s="111" t="e">
        <f>(B100)-C100-D100-E100-F100</f>
        <v>#N/A</v>
      </c>
      <c r="H100" s="111" t="e">
        <f>PV($C$22/12,$C$27*12,-G100)</f>
        <v>#N/A</v>
      </c>
      <c r="I100" s="111"/>
      <c r="J100" s="111"/>
      <c r="K100" s="17"/>
      <c r="L100" s="15"/>
      <c r="Q100" s="16" t="s">
        <v>27</v>
      </c>
    </row>
    <row r="101" spans="1:18" ht="18" x14ac:dyDescent="0.25">
      <c r="A101" s="68">
        <f>$H$41</f>
        <v>0</v>
      </c>
      <c r="B101" s="111" t="e">
        <f>(0.28)*((($C$163)+($D$163))/2)/12</f>
        <v>#N/A</v>
      </c>
      <c r="C101" s="111" t="e">
        <f>IF(B101=0,0,($C$23))</f>
        <v>#N/A</v>
      </c>
      <c r="D101" s="111" t="e">
        <f>IF(B101=0,0,($C$26))</f>
        <v>#N/A</v>
      </c>
      <c r="E101" s="111">
        <f>(((B58)*(C$25))/100)*((C$24)/12)</f>
        <v>0</v>
      </c>
      <c r="F101" s="111">
        <f>((B58*0.95)/1000)*((C$29)/12)</f>
        <v>0</v>
      </c>
      <c r="G101" s="111" t="e">
        <f>(B101)-C101-D101-E101-F101</f>
        <v>#N/A</v>
      </c>
      <c r="H101" s="111" t="e">
        <f>PV($C$22/12,$C$27*12,-G101)</f>
        <v>#N/A</v>
      </c>
      <c r="I101" s="111"/>
      <c r="J101" s="111"/>
      <c r="K101" s="17"/>
      <c r="L101" s="15"/>
    </row>
    <row r="102" spans="1:18" ht="18" x14ac:dyDescent="0.25">
      <c r="A102" s="68">
        <f>$H$42</f>
        <v>0</v>
      </c>
      <c r="B102" s="111" t="e">
        <f>(0.28)*((($C$164)+($D$164))/2)/12</f>
        <v>#N/A</v>
      </c>
      <c r="C102" s="111" t="e">
        <f>IF(B102=0,0,($C$23))</f>
        <v>#N/A</v>
      </c>
      <c r="D102" s="111" t="e">
        <f>IF(B102=0,0,($C$26))</f>
        <v>#N/A</v>
      </c>
      <c r="E102" s="111">
        <f>(((B59)*(C$25))/100)*((C$24)/12)</f>
        <v>0</v>
      </c>
      <c r="F102" s="111">
        <f>((B59*0.95)/1000)*((C$29)/12)</f>
        <v>0</v>
      </c>
      <c r="G102" s="111" t="e">
        <f>(B102)-C102-D102-E102-F102</f>
        <v>#N/A</v>
      </c>
      <c r="H102" s="111" t="e">
        <f>PV($C$22/12,$C$27*12,-G102)</f>
        <v>#N/A</v>
      </c>
      <c r="I102" s="111"/>
      <c r="J102" s="111"/>
      <c r="K102" s="17"/>
      <c r="L102" s="15"/>
      <c r="Q102" s="16" t="s">
        <v>27</v>
      </c>
    </row>
    <row r="103" spans="1:18" ht="18" x14ac:dyDescent="0.25">
      <c r="A103" s="78" t="s">
        <v>101</v>
      </c>
      <c r="B103" s="112" t="e">
        <f>(0.28)*((($C$165)+($D$165))/2)/12</f>
        <v>#N/A</v>
      </c>
      <c r="C103" s="112" t="e">
        <f>IF(B103=0,0,($C$23))</f>
        <v>#N/A</v>
      </c>
      <c r="D103" s="112" t="e">
        <f>IF(B103=0,0,($C$26))</f>
        <v>#N/A</v>
      </c>
      <c r="E103" s="112" t="e">
        <f ca="1">(((B60)*(C$25))/100)*((C$24)/12)</f>
        <v>#N/A</v>
      </c>
      <c r="F103" s="112" t="e">
        <f ca="1">((B60*0.95)/1000)*((C$29)/12)</f>
        <v>#N/A</v>
      </c>
      <c r="G103" s="112" t="e">
        <f ca="1">(B103)-C103-D103-E103-F103</f>
        <v>#N/A</v>
      </c>
      <c r="H103" s="112" t="e">
        <f ca="1">PV($C$22/12,$C$27*12,-G103)</f>
        <v>#N/A</v>
      </c>
      <c r="I103" s="111"/>
      <c r="J103" s="111"/>
      <c r="K103" s="17"/>
      <c r="L103" s="15"/>
      <c r="Q103" s="16" t="s">
        <v>27</v>
      </c>
    </row>
    <row r="104" spans="1:18" ht="18" x14ac:dyDescent="0.25">
      <c r="A104" s="18"/>
      <c r="B104" s="111"/>
      <c r="C104" s="111"/>
      <c r="D104" s="111"/>
      <c r="E104" s="111"/>
      <c r="F104" s="111"/>
      <c r="G104" s="111"/>
      <c r="H104" s="111"/>
      <c r="I104" s="111"/>
      <c r="J104" s="111"/>
      <c r="K104" s="17"/>
      <c r="L104" s="15"/>
    </row>
    <row r="105" spans="1:18" ht="18" x14ac:dyDescent="0.2">
      <c r="A105" s="131" t="s">
        <v>116</v>
      </c>
      <c r="B105" s="131"/>
      <c r="C105" s="131"/>
      <c r="D105" s="131"/>
      <c r="E105" s="131"/>
      <c r="F105" s="131"/>
      <c r="G105" s="131"/>
      <c r="H105" s="131"/>
      <c r="I105" s="107"/>
      <c r="J105" s="107"/>
      <c r="K105" s="107"/>
      <c r="L105" s="15"/>
    </row>
    <row r="106" spans="1:18" ht="18" x14ac:dyDescent="0.25">
      <c r="A106" s="18"/>
      <c r="B106" s="18"/>
      <c r="C106" s="62"/>
      <c r="D106" s="66"/>
      <c r="E106" s="66"/>
      <c r="F106" s="66"/>
      <c r="G106" s="66"/>
      <c r="H106" s="18"/>
      <c r="I106" s="18"/>
      <c r="J106" s="18"/>
      <c r="K106" s="17"/>
      <c r="L106" s="15"/>
      <c r="Q106" s="16" t="s">
        <v>27</v>
      </c>
    </row>
    <row r="107" spans="1:18" ht="36" x14ac:dyDescent="0.25">
      <c r="A107" s="109" t="str">
        <f>A95</f>
        <v>% of Median
Unit Priced at</v>
      </c>
      <c r="B107" s="110" t="s">
        <v>34</v>
      </c>
      <c r="C107" s="109" t="s">
        <v>109</v>
      </c>
      <c r="D107" s="109" t="s">
        <v>105</v>
      </c>
      <c r="E107" s="109" t="s">
        <v>106</v>
      </c>
      <c r="F107" s="110" t="s">
        <v>21</v>
      </c>
      <c r="G107" s="109" t="s">
        <v>107</v>
      </c>
      <c r="H107" s="109" t="s">
        <v>108</v>
      </c>
      <c r="I107" s="66"/>
      <c r="J107" s="66"/>
      <c r="K107" s="17"/>
      <c r="L107" s="15"/>
      <c r="Q107" s="16" t="s">
        <v>27</v>
      </c>
    </row>
    <row r="108" spans="1:18" ht="18" x14ac:dyDescent="0.25">
      <c r="A108" s="18"/>
      <c r="B108" s="111"/>
      <c r="C108" s="111"/>
      <c r="D108" s="111"/>
      <c r="E108" s="111"/>
      <c r="F108" s="111"/>
      <c r="G108" s="111"/>
      <c r="H108" s="111"/>
      <c r="I108" s="111"/>
      <c r="J108" s="111"/>
      <c r="K108" s="17"/>
      <c r="L108" s="15"/>
    </row>
    <row r="109" spans="1:18" ht="18" x14ac:dyDescent="0.25">
      <c r="A109" s="68">
        <f>$H$37</f>
        <v>0</v>
      </c>
      <c r="B109" s="111" t="e">
        <f>(0.28*E$159/12)</f>
        <v>#N/A</v>
      </c>
      <c r="C109" s="111" t="e">
        <f>IF(B109=0,0,($C$23))</f>
        <v>#N/A</v>
      </c>
      <c r="D109" s="111" t="e">
        <f>IF(B109=0,0,$C$26)</f>
        <v>#N/A</v>
      </c>
      <c r="E109" s="111">
        <f>(((D54)*(C$25))/100)*((C$24)/12)</f>
        <v>0</v>
      </c>
      <c r="F109" s="111">
        <f>((D54*0.95)/1000)*((C$29)/12)</f>
        <v>0</v>
      </c>
      <c r="G109" s="111" t="e">
        <f>(B109)-C109-D109-E109-F109</f>
        <v>#N/A</v>
      </c>
      <c r="H109" s="111" t="e">
        <f>PV($C$22/12,$C$27*12,-G109)</f>
        <v>#N/A</v>
      </c>
      <c r="I109" s="111"/>
      <c r="J109" s="111"/>
      <c r="K109" s="17"/>
      <c r="L109" s="15"/>
    </row>
    <row r="110" spans="1:18" ht="18" x14ac:dyDescent="0.25">
      <c r="A110" s="68">
        <f>$H$38</f>
        <v>0</v>
      </c>
      <c r="B110" s="111" t="e">
        <f>(0.28*$E$160)/12</f>
        <v>#N/A</v>
      </c>
      <c r="C110" s="111" t="e">
        <f>IF(B110=0,0,($C$23))</f>
        <v>#N/A</v>
      </c>
      <c r="D110" s="111" t="e">
        <f>IF(B110=0,0,$C$26)</f>
        <v>#N/A</v>
      </c>
      <c r="E110" s="111">
        <f>(((D55)*(C$25))/100)*((C$24)/12)</f>
        <v>0</v>
      </c>
      <c r="F110" s="111">
        <f>((D55*0.95)/1000)*((C$29)/12)</f>
        <v>0</v>
      </c>
      <c r="G110" s="111" t="e">
        <f>(B110)-C110-D110-E110-F110</f>
        <v>#N/A</v>
      </c>
      <c r="H110" s="111" t="e">
        <f>PV($C$22/12,$C$27*12,-G110)</f>
        <v>#N/A</v>
      </c>
      <c r="I110" s="111"/>
      <c r="J110" s="111"/>
      <c r="K110" s="17"/>
      <c r="L110" s="15"/>
    </row>
    <row r="111" spans="1:18" ht="18" x14ac:dyDescent="0.25">
      <c r="A111" s="18"/>
      <c r="B111" s="111"/>
      <c r="C111" s="111"/>
      <c r="D111" s="111"/>
      <c r="E111" s="111"/>
      <c r="F111" s="111"/>
      <c r="G111" s="111"/>
      <c r="H111" s="111"/>
      <c r="I111" s="111"/>
      <c r="J111" s="111"/>
      <c r="K111" s="17"/>
      <c r="L111" s="15"/>
    </row>
    <row r="112" spans="1:18" ht="18" x14ac:dyDescent="0.25">
      <c r="A112" s="68">
        <f>$H$40</f>
        <v>0</v>
      </c>
      <c r="B112" s="111" t="e">
        <f>(0.28*$E$162)/12</f>
        <v>#N/A</v>
      </c>
      <c r="C112" s="111" t="e">
        <f>IF(B112=0,0,($C$23))</f>
        <v>#N/A</v>
      </c>
      <c r="D112" s="111" t="e">
        <f>IF(B112=0,0,$C$26)</f>
        <v>#N/A</v>
      </c>
      <c r="E112" s="111">
        <f>(((D57)*(C$25))/100)*((C$24)/12)</f>
        <v>0</v>
      </c>
      <c r="F112" s="111">
        <f>((D57*0.95)/1000)*((C$29)/12)</f>
        <v>0</v>
      </c>
      <c r="G112" s="111" t="e">
        <f>(B112)-C112-D112-E112-F112</f>
        <v>#N/A</v>
      </c>
      <c r="H112" s="111" t="e">
        <f>PV($C$22/12,$C$27*12,-G112)</f>
        <v>#N/A</v>
      </c>
      <c r="I112" s="111"/>
      <c r="J112" s="111"/>
      <c r="K112" s="17"/>
      <c r="L112" s="15"/>
    </row>
    <row r="113" spans="1:12" ht="18" x14ac:dyDescent="0.25">
      <c r="A113" s="68">
        <f>$H$41</f>
        <v>0</v>
      </c>
      <c r="B113" s="111" t="e">
        <f>(0.28*$E$163)/12</f>
        <v>#N/A</v>
      </c>
      <c r="C113" s="111" t="e">
        <f>IF(B113=0,0,($C$23))</f>
        <v>#N/A</v>
      </c>
      <c r="D113" s="111" t="e">
        <f>IF(B113=0,0,$C$26)</f>
        <v>#N/A</v>
      </c>
      <c r="E113" s="111">
        <f>(((D58)*(C$25))/100)*((C$24)/12)</f>
        <v>0</v>
      </c>
      <c r="F113" s="111">
        <f>((D58*0.95)/1000)*((C$29)/12)</f>
        <v>0</v>
      </c>
      <c r="G113" s="111" t="e">
        <f>(B113)-C113-D113-E113-F113</f>
        <v>#N/A</v>
      </c>
      <c r="H113" s="111" t="e">
        <f>PV($C$22/12,$C$27*12,-G113)</f>
        <v>#N/A</v>
      </c>
      <c r="I113" s="111"/>
      <c r="J113" s="111"/>
      <c r="K113" s="17"/>
      <c r="L113" s="15"/>
    </row>
    <row r="114" spans="1:12" ht="18" x14ac:dyDescent="0.25">
      <c r="A114" s="68">
        <f>$H$42</f>
        <v>0</v>
      </c>
      <c r="B114" s="111" t="e">
        <f>(0.28*$E$164)/12</f>
        <v>#N/A</v>
      </c>
      <c r="C114" s="111" t="e">
        <f>IF(B114=0,0,($C$23))</f>
        <v>#N/A</v>
      </c>
      <c r="D114" s="111" t="e">
        <f>IF(B114=0,0,$C$26)</f>
        <v>#N/A</v>
      </c>
      <c r="E114" s="111">
        <f>(((D59)*(C$25))/100)*((C$24)/12)</f>
        <v>0</v>
      </c>
      <c r="F114" s="111">
        <f>((D59*0.95)/1000)*((C$29)/12)</f>
        <v>0</v>
      </c>
      <c r="G114" s="111" t="e">
        <f>(B114)-C114-D114-E114-F114</f>
        <v>#N/A</v>
      </c>
      <c r="H114" s="111" t="e">
        <f>PV($C$22/12,$C$27*12,-G114)</f>
        <v>#N/A</v>
      </c>
      <c r="I114" s="111"/>
      <c r="J114" s="111"/>
      <c r="K114" s="17"/>
      <c r="L114" s="15"/>
    </row>
    <row r="115" spans="1:12" ht="18" x14ac:dyDescent="0.25">
      <c r="A115" s="78" t="s">
        <v>101</v>
      </c>
      <c r="B115" s="112" t="e">
        <f>(0.28*$E$165)/12</f>
        <v>#N/A</v>
      </c>
      <c r="C115" s="112" t="e">
        <f>IF(B115=0,0,($C$23))</f>
        <v>#N/A</v>
      </c>
      <c r="D115" s="112" t="e">
        <f>IF(B115=0,0,$C$26)</f>
        <v>#N/A</v>
      </c>
      <c r="E115" s="112" t="e">
        <f ca="1">(((D60)*(C$25))/100)*((C$24)/12)</f>
        <v>#N/A</v>
      </c>
      <c r="F115" s="112" t="e">
        <f ca="1">((D60*0.95)/1000)*((C$29)/12)</f>
        <v>#N/A</v>
      </c>
      <c r="G115" s="112" t="e">
        <f ca="1">(B115)-C115-D115-E115-F115</f>
        <v>#N/A</v>
      </c>
      <c r="H115" s="112" t="e">
        <f ca="1">PV($C$22/12,$C$27*12,-G115)</f>
        <v>#N/A</v>
      </c>
      <c r="I115" s="111"/>
      <c r="J115" s="111"/>
      <c r="K115" s="17"/>
      <c r="L115" s="15"/>
    </row>
    <row r="116" spans="1:12" ht="18" x14ac:dyDescent="0.25">
      <c r="A116" s="18"/>
      <c r="B116" s="111"/>
      <c r="C116" s="111"/>
      <c r="D116" s="111"/>
      <c r="E116" s="111"/>
      <c r="F116" s="111"/>
      <c r="G116" s="111"/>
      <c r="H116" s="111"/>
      <c r="I116" s="111"/>
      <c r="J116" s="111"/>
      <c r="K116" s="17"/>
      <c r="L116" s="15"/>
    </row>
    <row r="117" spans="1:12" ht="18" x14ac:dyDescent="0.2">
      <c r="A117" s="131" t="s">
        <v>117</v>
      </c>
      <c r="B117" s="131"/>
      <c r="C117" s="131"/>
      <c r="D117" s="131"/>
      <c r="E117" s="131"/>
      <c r="F117" s="131"/>
      <c r="G117" s="131"/>
      <c r="H117" s="131"/>
      <c r="I117" s="107"/>
      <c r="J117" s="107"/>
      <c r="K117" s="107"/>
      <c r="L117" s="15"/>
    </row>
    <row r="118" spans="1:12" ht="18" x14ac:dyDescent="0.25">
      <c r="A118" s="18"/>
      <c r="B118" s="18"/>
      <c r="C118" s="113"/>
      <c r="D118" s="23"/>
      <c r="E118" s="114"/>
      <c r="F118" s="114"/>
      <c r="G118" s="114"/>
      <c r="H118" s="18"/>
      <c r="I118" s="18"/>
      <c r="J118" s="18"/>
      <c r="K118" s="17"/>
      <c r="L118" s="15"/>
    </row>
    <row r="119" spans="1:12" ht="36" x14ac:dyDescent="0.25">
      <c r="A119" s="109" t="str">
        <f>A107</f>
        <v>% of Median
Unit Priced at</v>
      </c>
      <c r="B119" s="110" t="s">
        <v>34</v>
      </c>
      <c r="C119" s="109" t="s">
        <v>109</v>
      </c>
      <c r="D119" s="109" t="s">
        <v>105</v>
      </c>
      <c r="E119" s="109" t="s">
        <v>106</v>
      </c>
      <c r="F119" s="110" t="s">
        <v>21</v>
      </c>
      <c r="G119" s="109" t="s">
        <v>107</v>
      </c>
      <c r="H119" s="109" t="s">
        <v>108</v>
      </c>
      <c r="I119" s="66"/>
      <c r="J119" s="66"/>
      <c r="K119" s="17"/>
      <c r="L119" s="15"/>
    </row>
    <row r="120" spans="1:12" ht="18" x14ac:dyDescent="0.25">
      <c r="A120" s="18"/>
      <c r="B120" s="111"/>
      <c r="C120" s="111"/>
      <c r="D120" s="111"/>
      <c r="E120" s="111"/>
      <c r="F120" s="111"/>
      <c r="G120" s="111"/>
      <c r="H120" s="111"/>
      <c r="I120" s="111"/>
      <c r="J120" s="111"/>
      <c r="K120" s="17"/>
      <c r="L120" s="15"/>
    </row>
    <row r="121" spans="1:12" ht="18" x14ac:dyDescent="0.25">
      <c r="A121" s="68">
        <f>$H$37</f>
        <v>0</v>
      </c>
      <c r="B121" s="111" t="e">
        <f>(0.28)*((($F$159)+($G$159))/2)/12</f>
        <v>#N/A</v>
      </c>
      <c r="C121" s="111" t="e">
        <f>IF(B121=0,0,($C$23))</f>
        <v>#N/A</v>
      </c>
      <c r="D121" s="111" t="e">
        <f>IF(B121=0,0,$C$26)</f>
        <v>#N/A</v>
      </c>
      <c r="E121" s="111">
        <f>(((F54)*(C$25))/100)*((C$24)/12)</f>
        <v>0</v>
      </c>
      <c r="F121" s="111">
        <f>((F54*0.95)/1000)*((C$29)/12)</f>
        <v>0</v>
      </c>
      <c r="G121" s="111" t="e">
        <f>(B121)-C121-D121-E121-F121</f>
        <v>#N/A</v>
      </c>
      <c r="H121" s="111" t="e">
        <f>PV($C$22/12,$C$27*12,-G121)</f>
        <v>#N/A</v>
      </c>
      <c r="I121" s="111"/>
      <c r="J121" s="111"/>
      <c r="K121" s="17"/>
      <c r="L121" s="15"/>
    </row>
    <row r="122" spans="1:12" ht="18" x14ac:dyDescent="0.25">
      <c r="A122" s="68">
        <f>$H$38</f>
        <v>0</v>
      </c>
      <c r="B122" s="111" t="e">
        <f>(0.28)*((($F$160)+($G$160))/2)/12</f>
        <v>#N/A</v>
      </c>
      <c r="C122" s="111" t="e">
        <f>IF(B122=0,0,($C$23))</f>
        <v>#N/A</v>
      </c>
      <c r="D122" s="111" t="e">
        <f>IF(B122=0,0,$C$26)</f>
        <v>#N/A</v>
      </c>
      <c r="E122" s="111">
        <f>(((F55)*(C$25))/100)*((C$24)/12)</f>
        <v>0</v>
      </c>
      <c r="F122" s="111">
        <f>((F55*0.95)/1000)*((C$29)/12)</f>
        <v>0</v>
      </c>
      <c r="G122" s="111" t="e">
        <f>(B122)-C122-D122-E122-F122</f>
        <v>#N/A</v>
      </c>
      <c r="H122" s="111" t="e">
        <f>PV($C$22/12,$C$27*12,-G122)</f>
        <v>#N/A</v>
      </c>
      <c r="I122" s="111"/>
      <c r="J122" s="111"/>
      <c r="K122" s="17"/>
      <c r="L122" s="15"/>
    </row>
    <row r="123" spans="1:12" ht="18" x14ac:dyDescent="0.25">
      <c r="A123" s="18"/>
      <c r="B123" s="111"/>
      <c r="C123" s="111"/>
      <c r="D123" s="111"/>
      <c r="E123" s="111"/>
      <c r="F123" s="111"/>
      <c r="G123" s="111"/>
      <c r="H123" s="111"/>
      <c r="I123" s="111"/>
      <c r="J123" s="111"/>
      <c r="K123" s="17"/>
      <c r="L123" s="15"/>
    </row>
    <row r="124" spans="1:12" ht="18" x14ac:dyDescent="0.25">
      <c r="A124" s="68">
        <f>$H$40</f>
        <v>0</v>
      </c>
      <c r="B124" s="111" t="e">
        <f>(0.28)*((($F$162)+($G$162))/2)/12</f>
        <v>#N/A</v>
      </c>
      <c r="C124" s="111" t="e">
        <f>IF(B124=0,0,($C$23))</f>
        <v>#N/A</v>
      </c>
      <c r="D124" s="111" t="e">
        <f>IF(B124=0,0,$C$26)</f>
        <v>#N/A</v>
      </c>
      <c r="E124" s="111">
        <f>(((F57)*(C$25))/100)*((C$24)/12)</f>
        <v>0</v>
      </c>
      <c r="F124" s="111">
        <f>((F57*0.95)/1000)*((C$29)/12)</f>
        <v>0</v>
      </c>
      <c r="G124" s="111" t="e">
        <f>(B124)-C124-D124-E124-F124</f>
        <v>#N/A</v>
      </c>
      <c r="H124" s="111" t="e">
        <f>PV($C$22/12,$C$27*12,-G124)</f>
        <v>#N/A</v>
      </c>
      <c r="I124" s="111"/>
      <c r="J124" s="111"/>
      <c r="K124" s="17"/>
      <c r="L124" s="15"/>
    </row>
    <row r="125" spans="1:12" ht="18" x14ac:dyDescent="0.25">
      <c r="A125" s="68">
        <f>$H$41</f>
        <v>0</v>
      </c>
      <c r="B125" s="111" t="e">
        <f>(0.28)*((($F$163)+($G$163))/2)/12</f>
        <v>#N/A</v>
      </c>
      <c r="C125" s="111" t="e">
        <f>IF(B125=0,0,($C$23))</f>
        <v>#N/A</v>
      </c>
      <c r="D125" s="111" t="e">
        <f>IF(B125=0,0,$C$26)</f>
        <v>#N/A</v>
      </c>
      <c r="E125" s="111">
        <f>(((F58)*(C$25))/100)*((C$24)/12)</f>
        <v>0</v>
      </c>
      <c r="F125" s="111">
        <f>((F58*0.95)/1000)*((C$29)/12)</f>
        <v>0</v>
      </c>
      <c r="G125" s="111" t="e">
        <f>(B125)-C125-D125-E125-F125</f>
        <v>#N/A</v>
      </c>
      <c r="H125" s="111" t="e">
        <f>PV($C$22/12,$C$27*12,-G125)</f>
        <v>#N/A</v>
      </c>
      <c r="I125" s="111"/>
      <c r="J125" s="111"/>
      <c r="K125" s="17"/>
      <c r="L125" s="15"/>
    </row>
    <row r="126" spans="1:12" ht="18" x14ac:dyDescent="0.25">
      <c r="A126" s="68">
        <f>$H$42</f>
        <v>0</v>
      </c>
      <c r="B126" s="111" t="e">
        <f>(0.28)*((($F$164)+($G$164))/2)/12</f>
        <v>#N/A</v>
      </c>
      <c r="C126" s="111" t="e">
        <f>IF(B126=0,0,($C$23))</f>
        <v>#N/A</v>
      </c>
      <c r="D126" s="111" t="e">
        <f>IF(B126=0,0,$C$26)</f>
        <v>#N/A</v>
      </c>
      <c r="E126" s="111">
        <f>(((F59)*(C$25))/100)*((C$24)/12)</f>
        <v>0</v>
      </c>
      <c r="F126" s="111">
        <f>((F59*0.95)/1000)*((C$29)/12)</f>
        <v>0</v>
      </c>
      <c r="G126" s="111" t="e">
        <f>(B126)-C126-D126-E126-F126</f>
        <v>#N/A</v>
      </c>
      <c r="H126" s="111" t="e">
        <f>PV($C$22/12,$C$27*12,-G126)</f>
        <v>#N/A</v>
      </c>
      <c r="I126" s="111"/>
      <c r="J126" s="111"/>
      <c r="K126" s="17"/>
      <c r="L126" s="15"/>
    </row>
    <row r="127" spans="1:12" ht="18" x14ac:dyDescent="0.25">
      <c r="A127" s="115" t="s">
        <v>101</v>
      </c>
      <c r="B127" s="112" t="e">
        <f>(0.28)*((($F$165)+($G$165))/2)/12</f>
        <v>#N/A</v>
      </c>
      <c r="C127" s="112" t="e">
        <f>IF(B127=0,0,($C$23))</f>
        <v>#N/A</v>
      </c>
      <c r="D127" s="112" t="e">
        <f>IF(B127=0,0,$C$26)</f>
        <v>#N/A</v>
      </c>
      <c r="E127" s="112" t="e">
        <f ca="1">(((F60)*(C$25))/100)*((C$24)/12)</f>
        <v>#N/A</v>
      </c>
      <c r="F127" s="112" t="e">
        <f ca="1">((F60*0.95)/1000)*((C$29)/12)</f>
        <v>#N/A</v>
      </c>
      <c r="G127" s="112" t="e">
        <f ca="1">(B127)-C127-D127-E127-F127</f>
        <v>#N/A</v>
      </c>
      <c r="H127" s="112" t="e">
        <f ca="1">PV($C$22/12,$C$27*12,-G127)</f>
        <v>#N/A</v>
      </c>
      <c r="I127" s="17"/>
      <c r="J127" s="17"/>
      <c r="K127" s="17"/>
      <c r="L127" s="15"/>
    </row>
    <row r="128" spans="1:12" x14ac:dyDescent="0.2">
      <c r="A128" s="17"/>
      <c r="B128" s="17"/>
      <c r="C128" s="17"/>
      <c r="D128" s="17"/>
      <c r="E128" s="17"/>
      <c r="F128" s="17"/>
      <c r="G128" s="17"/>
      <c r="H128" s="17"/>
      <c r="I128" s="17"/>
      <c r="J128" s="17"/>
      <c r="K128" s="17"/>
      <c r="L128" s="15"/>
    </row>
    <row r="129" spans="1:12" ht="18" x14ac:dyDescent="0.2">
      <c r="A129" s="131" t="s">
        <v>118</v>
      </c>
      <c r="B129" s="131"/>
      <c r="C129" s="131"/>
      <c r="D129" s="131"/>
      <c r="E129" s="131"/>
      <c r="F129" s="131"/>
      <c r="G129" s="131"/>
      <c r="H129" s="131"/>
      <c r="I129" s="107"/>
      <c r="J129" s="107"/>
      <c r="K129" s="107"/>
      <c r="L129" s="15"/>
    </row>
    <row r="130" spans="1:12" ht="18" x14ac:dyDescent="0.25">
      <c r="A130" s="18"/>
      <c r="B130" s="18"/>
      <c r="C130" s="113"/>
      <c r="D130" s="23"/>
      <c r="E130" s="114"/>
      <c r="F130" s="114"/>
      <c r="G130" s="114"/>
      <c r="H130" s="18"/>
      <c r="I130" s="18"/>
      <c r="J130" s="18"/>
      <c r="K130" s="17"/>
      <c r="L130" s="15"/>
    </row>
    <row r="131" spans="1:12" ht="36" x14ac:dyDescent="0.25">
      <c r="A131" s="109" t="str">
        <f>A119</f>
        <v>% of Median
Unit Priced at</v>
      </c>
      <c r="B131" s="110" t="s">
        <v>34</v>
      </c>
      <c r="C131" s="109" t="s">
        <v>109</v>
      </c>
      <c r="D131" s="109" t="s">
        <v>105</v>
      </c>
      <c r="E131" s="109" t="s">
        <v>106</v>
      </c>
      <c r="F131" s="110" t="s">
        <v>21</v>
      </c>
      <c r="G131" s="109" t="s">
        <v>107</v>
      </c>
      <c r="H131" s="109" t="s">
        <v>108</v>
      </c>
      <c r="I131" s="66"/>
      <c r="J131" s="66"/>
      <c r="K131" s="17"/>
      <c r="L131" s="15"/>
    </row>
    <row r="132" spans="1:12" ht="18" x14ac:dyDescent="0.25">
      <c r="A132" s="18"/>
      <c r="B132" s="111"/>
      <c r="C132" s="111"/>
      <c r="D132" s="111"/>
      <c r="E132" s="111"/>
      <c r="F132" s="111"/>
      <c r="G132" s="111"/>
      <c r="H132" s="111"/>
      <c r="I132" s="111"/>
      <c r="J132" s="111"/>
      <c r="K132" s="17"/>
      <c r="L132" s="15"/>
    </row>
    <row r="133" spans="1:12" ht="18" x14ac:dyDescent="0.25">
      <c r="A133" s="68">
        <f>$H$37</f>
        <v>0</v>
      </c>
      <c r="B133" s="111" t="e">
        <f>(0.28)*($H$159/12)</f>
        <v>#N/A</v>
      </c>
      <c r="C133" s="111" t="e">
        <f>IF(B133=0,0,($C$23))</f>
        <v>#N/A</v>
      </c>
      <c r="D133" s="111" t="e">
        <f>IF(B133=0,0,$C$26)</f>
        <v>#N/A</v>
      </c>
      <c r="E133" s="111">
        <f>(((H54)*(C$25))/100)*((C$24)/12)</f>
        <v>0</v>
      </c>
      <c r="F133" s="111">
        <f>((H54*0.95)/1000)*((C$29)/12)</f>
        <v>0</v>
      </c>
      <c r="G133" s="111" t="e">
        <f>(B133)-C133-D133-E133-F133</f>
        <v>#N/A</v>
      </c>
      <c r="H133" s="111" t="e">
        <f>PV($C$22/12,$C$27*12,-G133)</f>
        <v>#N/A</v>
      </c>
      <c r="I133" s="111"/>
      <c r="J133" s="111"/>
      <c r="K133" s="17"/>
      <c r="L133" s="15"/>
    </row>
    <row r="134" spans="1:12" ht="18" x14ac:dyDescent="0.25">
      <c r="A134" s="68">
        <f>$H$38</f>
        <v>0</v>
      </c>
      <c r="B134" s="111" t="e">
        <f>(0.28)*($H$160/12)</f>
        <v>#N/A</v>
      </c>
      <c r="C134" s="111" t="e">
        <f>IF(B134=0,0,($C$23))</f>
        <v>#N/A</v>
      </c>
      <c r="D134" s="111" t="e">
        <f>IF(B134=0,0,$C$26)</f>
        <v>#N/A</v>
      </c>
      <c r="E134" s="111">
        <f>(((H55)*(C$25))/100)*((C$24)/12)</f>
        <v>0</v>
      </c>
      <c r="F134" s="111">
        <f>((H55*0.95)/1000)*((C$29)/12)</f>
        <v>0</v>
      </c>
      <c r="G134" s="111" t="e">
        <f>(B134)-C134-D134-E134-F134</f>
        <v>#N/A</v>
      </c>
      <c r="H134" s="111" t="e">
        <f>PV($C$22/12,$C$27*12,-G134)</f>
        <v>#N/A</v>
      </c>
      <c r="I134" s="111"/>
      <c r="J134" s="111"/>
      <c r="K134" s="17"/>
      <c r="L134" s="15"/>
    </row>
    <row r="135" spans="1:12" ht="18" x14ac:dyDescent="0.25">
      <c r="A135" s="18"/>
      <c r="B135" s="111"/>
      <c r="C135" s="111"/>
      <c r="D135" s="111"/>
      <c r="E135" s="111"/>
      <c r="F135" s="111"/>
      <c r="G135" s="111"/>
      <c r="H135" s="111"/>
      <c r="I135" s="111"/>
      <c r="J135" s="111"/>
      <c r="K135" s="17"/>
      <c r="L135" s="15"/>
    </row>
    <row r="136" spans="1:12" ht="18" x14ac:dyDescent="0.25">
      <c r="A136" s="68">
        <f>$H$40</f>
        <v>0</v>
      </c>
      <c r="B136" s="111" t="e">
        <f>(0.28)*($H$162/12)</f>
        <v>#N/A</v>
      </c>
      <c r="C136" s="111" t="e">
        <f>IF(B136=0,0,($C$23))</f>
        <v>#N/A</v>
      </c>
      <c r="D136" s="111" t="e">
        <f>IF(B136=0,0,$C$26)</f>
        <v>#N/A</v>
      </c>
      <c r="E136" s="111">
        <f>(((H57)*(C$25))/100)*((C$24)/12)</f>
        <v>0</v>
      </c>
      <c r="F136" s="111">
        <f>((H57*0.95)/1000)*((C$29)/12)</f>
        <v>0</v>
      </c>
      <c r="G136" s="111" t="e">
        <f>(B136)-C136-D136-E136-F136</f>
        <v>#N/A</v>
      </c>
      <c r="H136" s="111" t="e">
        <f>PV($C$22/12,$C$27*12,-G136)</f>
        <v>#N/A</v>
      </c>
      <c r="I136" s="111"/>
      <c r="J136" s="111"/>
      <c r="K136" s="17"/>
      <c r="L136" s="15"/>
    </row>
    <row r="137" spans="1:12" ht="18" x14ac:dyDescent="0.25">
      <c r="A137" s="68">
        <f>$H$41</f>
        <v>0</v>
      </c>
      <c r="B137" s="111" t="e">
        <f>(0.28)*($H$163/12)</f>
        <v>#N/A</v>
      </c>
      <c r="C137" s="111" t="e">
        <f>IF(B137=0,0,($C$23))</f>
        <v>#N/A</v>
      </c>
      <c r="D137" s="111" t="e">
        <f>IF(B137=0,0,$C$26)</f>
        <v>#N/A</v>
      </c>
      <c r="E137" s="111">
        <f>(((H58)*(C$25))/100)*((C$24)/12)</f>
        <v>0</v>
      </c>
      <c r="F137" s="111">
        <f>((H58*0.95)/1000)*((C$29)/12)</f>
        <v>0</v>
      </c>
      <c r="G137" s="111" t="e">
        <f>(B137)-C137-D137-E137-F137</f>
        <v>#N/A</v>
      </c>
      <c r="H137" s="111" t="e">
        <f>PV($C$22/12,$C$27*12,-G137)</f>
        <v>#N/A</v>
      </c>
      <c r="I137" s="111"/>
      <c r="J137" s="111"/>
      <c r="K137" s="17"/>
      <c r="L137" s="15"/>
    </row>
    <row r="138" spans="1:12" ht="18" x14ac:dyDescent="0.25">
      <c r="A138" s="68">
        <f>$H$42</f>
        <v>0</v>
      </c>
      <c r="B138" s="111" t="e">
        <f>(0.28)*($H$164/12)</f>
        <v>#N/A</v>
      </c>
      <c r="C138" s="111" t="e">
        <f>IF(B138=0,0,($C$23))</f>
        <v>#N/A</v>
      </c>
      <c r="D138" s="111" t="e">
        <f>IF(B138=0,0,$C$26)</f>
        <v>#N/A</v>
      </c>
      <c r="E138" s="111">
        <f>(((H59)*(C$25))/100)*((C$24)/12)</f>
        <v>0</v>
      </c>
      <c r="F138" s="111">
        <f>((H59*0.95)/1000)*((C$29)/12)</f>
        <v>0</v>
      </c>
      <c r="G138" s="111" t="e">
        <f>(B138)-C138-D138-E138-F138</f>
        <v>#N/A</v>
      </c>
      <c r="H138" s="111" t="e">
        <f>PV($C$22/12,$C$27*12,-G138)</f>
        <v>#N/A</v>
      </c>
      <c r="I138" s="111"/>
      <c r="J138" s="111"/>
      <c r="K138" s="17"/>
      <c r="L138" s="15"/>
    </row>
    <row r="139" spans="1:12" ht="18" x14ac:dyDescent="0.25">
      <c r="A139" s="115" t="s">
        <v>101</v>
      </c>
      <c r="B139" s="112" t="e">
        <f>(0.28)*($H$165/12)</f>
        <v>#N/A</v>
      </c>
      <c r="C139" s="112" t="e">
        <f>IF(B139=0,0,($C$23))</f>
        <v>#N/A</v>
      </c>
      <c r="D139" s="112" t="e">
        <f>IF(B139=0,0,$C$26)</f>
        <v>#N/A</v>
      </c>
      <c r="E139" s="112" t="e">
        <f ca="1">(((H60)*(C$25))/100)*((C$24)/12)</f>
        <v>#N/A</v>
      </c>
      <c r="F139" s="112" t="e">
        <f ca="1">((H60*0.95)/1000)*((C$29)/12)</f>
        <v>#N/A</v>
      </c>
      <c r="G139" s="112" t="e">
        <f ca="1">(B139)-C139-D139-E139-F139</f>
        <v>#N/A</v>
      </c>
      <c r="H139" s="112" t="e">
        <f ca="1">PV($C$22/12,$C$27*12,-G139)</f>
        <v>#N/A</v>
      </c>
      <c r="I139" s="111"/>
      <c r="J139" s="111"/>
      <c r="K139" s="17"/>
      <c r="L139" s="15"/>
    </row>
    <row r="140" spans="1:12" x14ac:dyDescent="0.2">
      <c r="A140" s="17"/>
      <c r="B140" s="17"/>
      <c r="C140" s="17"/>
      <c r="D140" s="17"/>
      <c r="E140" s="17"/>
      <c r="F140" s="17"/>
      <c r="G140" s="17"/>
      <c r="H140" s="17"/>
      <c r="I140" s="116"/>
      <c r="J140" s="116"/>
      <c r="K140" s="116"/>
      <c r="L140" s="15"/>
    </row>
    <row r="141" spans="1:12" ht="20.25" x14ac:dyDescent="0.3">
      <c r="A141" s="137" t="s">
        <v>29</v>
      </c>
      <c r="B141" s="137"/>
      <c r="C141" s="137"/>
      <c r="D141" s="137"/>
      <c r="E141" s="137"/>
      <c r="F141" s="137"/>
      <c r="G141" s="137"/>
      <c r="H141" s="137"/>
      <c r="I141" s="137"/>
      <c r="J141" s="137"/>
      <c r="K141" s="117"/>
      <c r="L141" s="15"/>
    </row>
    <row r="142" spans="1:12" ht="18" x14ac:dyDescent="0.25">
      <c r="A142" s="142" t="str">
        <f>C15</f>
        <v>2018 COAH Regional Income Limits
(Updated by AHPNJ)</v>
      </c>
      <c r="B142" s="143"/>
      <c r="C142" s="143"/>
      <c r="D142" s="143"/>
      <c r="E142" s="143"/>
      <c r="F142" s="143"/>
      <c r="G142" s="143"/>
      <c r="H142" s="143"/>
      <c r="I142" s="143"/>
      <c r="J142" s="143"/>
      <c r="K142" s="18"/>
      <c r="L142" s="15"/>
    </row>
    <row r="143" spans="1:12" ht="18" x14ac:dyDescent="0.25">
      <c r="A143" s="18"/>
      <c r="B143" s="18"/>
      <c r="C143" s="18"/>
      <c r="D143" s="18"/>
      <c r="E143" s="18"/>
      <c r="F143" s="18"/>
      <c r="G143" s="18"/>
      <c r="H143" s="18"/>
      <c r="I143" s="18"/>
      <c r="J143" s="18"/>
      <c r="K143" s="18"/>
      <c r="L143" s="15"/>
    </row>
    <row r="144" spans="1:12" ht="18" x14ac:dyDescent="0.25">
      <c r="A144" s="141" t="s">
        <v>37</v>
      </c>
      <c r="B144" s="141"/>
      <c r="C144" s="66" t="s">
        <v>30</v>
      </c>
      <c r="D144" s="66" t="s">
        <v>14</v>
      </c>
      <c r="E144" s="66" t="s">
        <v>15</v>
      </c>
      <c r="F144" s="66" t="s">
        <v>16</v>
      </c>
      <c r="G144" s="66" t="s">
        <v>17</v>
      </c>
      <c r="H144" s="66" t="s">
        <v>18</v>
      </c>
      <c r="I144" s="66" t="s">
        <v>31</v>
      </c>
      <c r="J144" s="66">
        <v>8</v>
      </c>
      <c r="K144" s="17"/>
      <c r="L144" s="15"/>
    </row>
    <row r="145" spans="1:12" ht="18" x14ac:dyDescent="0.25">
      <c r="A145" s="141" t="s">
        <v>38</v>
      </c>
      <c r="B145" s="141"/>
      <c r="C145" s="118" t="e">
        <f>LOOKUP($C$17,'Income Limits'!$A$7:$A$12,'Income Limits'!C$7:C$12)</f>
        <v>#N/A</v>
      </c>
      <c r="D145" s="118" t="e">
        <f>LOOKUP($C$17,'Income Limits'!$A$7:$A$12,'Income Limits'!D$7:D$12)</f>
        <v>#N/A</v>
      </c>
      <c r="E145" s="118" t="e">
        <f>LOOKUP($C$17,'Income Limits'!$A$7:$A$12,'Income Limits'!E$7:E$12)</f>
        <v>#N/A</v>
      </c>
      <c r="F145" s="118" t="e">
        <f>LOOKUP($C$17,'Income Limits'!$A$7:$A$12,'Income Limits'!F$7:F$12)</f>
        <v>#N/A</v>
      </c>
      <c r="G145" s="118" t="e">
        <f>LOOKUP($C$17,'Income Limits'!$A$7:$A$12,'Income Limits'!G$7:G$12)</f>
        <v>#N/A</v>
      </c>
      <c r="H145" s="118" t="e">
        <f>LOOKUP($C$17,'Income Limits'!$A$7:$A$12,'Income Limits'!H$7:H$12)</f>
        <v>#N/A</v>
      </c>
      <c r="I145" s="118" t="e">
        <f>LOOKUP($C$17,'Income Limits'!$A$7:$A$12,'Income Limits'!I$7:I$12)</f>
        <v>#N/A</v>
      </c>
      <c r="J145" s="118" t="e">
        <f>LOOKUP($C$17,'Income Limits'!$A$7:$A$12,'Income Limits'!J$7:J$12)</f>
        <v>#N/A</v>
      </c>
      <c r="K145" s="17"/>
      <c r="L145" s="15"/>
    </row>
    <row r="146" spans="1:12" ht="18" x14ac:dyDescent="0.25">
      <c r="A146" s="18"/>
      <c r="B146" s="18"/>
      <c r="C146" s="18"/>
      <c r="D146" s="18"/>
      <c r="E146" s="18"/>
      <c r="F146" s="18"/>
      <c r="G146" s="18"/>
      <c r="H146" s="18"/>
      <c r="I146" s="18"/>
      <c r="J146" s="18"/>
      <c r="K146" s="17"/>
      <c r="L146" s="15"/>
    </row>
    <row r="147" spans="1:12" ht="18" x14ac:dyDescent="0.25">
      <c r="A147" s="18" t="s">
        <v>13</v>
      </c>
      <c r="B147" s="66" t="s">
        <v>36</v>
      </c>
      <c r="C147" s="18"/>
      <c r="D147" s="18"/>
      <c r="E147" s="18"/>
      <c r="F147" s="18"/>
      <c r="G147" s="18"/>
      <c r="H147" s="18"/>
      <c r="I147" s="18"/>
      <c r="J147" s="18"/>
      <c r="K147" s="17"/>
      <c r="L147" s="15"/>
    </row>
    <row r="148" spans="1:12" ht="18" x14ac:dyDescent="0.25">
      <c r="A148" s="18"/>
      <c r="B148" s="18"/>
      <c r="C148" s="18"/>
      <c r="D148" s="18"/>
      <c r="E148" s="18"/>
      <c r="F148" s="18"/>
      <c r="G148" s="18"/>
      <c r="H148" s="18"/>
      <c r="I148" s="18"/>
      <c r="J148" s="18"/>
      <c r="K148" s="17"/>
      <c r="L148" s="15"/>
    </row>
    <row r="149" spans="1:12" ht="18" x14ac:dyDescent="0.25">
      <c r="A149" s="23" t="s">
        <v>101</v>
      </c>
      <c r="B149" s="119">
        <v>1.2</v>
      </c>
      <c r="C149" s="111" t="e">
        <f t="shared" ref="C149:J152" si="0">$B149*C$145</f>
        <v>#N/A</v>
      </c>
      <c r="D149" s="111" t="e">
        <f t="shared" si="0"/>
        <v>#N/A</v>
      </c>
      <c r="E149" s="111" t="e">
        <f t="shared" si="0"/>
        <v>#N/A</v>
      </c>
      <c r="F149" s="111" t="e">
        <f t="shared" si="0"/>
        <v>#N/A</v>
      </c>
      <c r="G149" s="111" t="e">
        <f t="shared" si="0"/>
        <v>#N/A</v>
      </c>
      <c r="H149" s="111" t="e">
        <f t="shared" si="0"/>
        <v>#N/A</v>
      </c>
      <c r="I149" s="111" t="e">
        <f t="shared" si="0"/>
        <v>#N/A</v>
      </c>
      <c r="J149" s="111" t="e">
        <f t="shared" si="0"/>
        <v>#N/A</v>
      </c>
      <c r="K149" s="17"/>
      <c r="L149" s="15"/>
    </row>
    <row r="150" spans="1:12" ht="18" x14ac:dyDescent="0.25">
      <c r="A150" s="23" t="s">
        <v>20</v>
      </c>
      <c r="B150" s="119">
        <v>0.8</v>
      </c>
      <c r="C150" s="111" t="e">
        <f t="shared" si="0"/>
        <v>#N/A</v>
      </c>
      <c r="D150" s="111" t="e">
        <f t="shared" si="0"/>
        <v>#N/A</v>
      </c>
      <c r="E150" s="111" t="e">
        <f t="shared" si="0"/>
        <v>#N/A</v>
      </c>
      <c r="F150" s="111" t="e">
        <f t="shared" si="0"/>
        <v>#N/A</v>
      </c>
      <c r="G150" s="111" t="e">
        <f t="shared" si="0"/>
        <v>#N/A</v>
      </c>
      <c r="H150" s="111" t="e">
        <f t="shared" si="0"/>
        <v>#N/A</v>
      </c>
      <c r="I150" s="111" t="e">
        <f t="shared" si="0"/>
        <v>#N/A</v>
      </c>
      <c r="J150" s="111" t="e">
        <f t="shared" si="0"/>
        <v>#N/A</v>
      </c>
      <c r="K150" s="17"/>
      <c r="L150" s="15"/>
    </row>
    <row r="151" spans="1:12" ht="18" x14ac:dyDescent="0.25">
      <c r="A151" s="23" t="s">
        <v>22</v>
      </c>
      <c r="B151" s="119">
        <v>0.5</v>
      </c>
      <c r="C151" s="111" t="e">
        <f t="shared" si="0"/>
        <v>#N/A</v>
      </c>
      <c r="D151" s="111" t="e">
        <f t="shared" si="0"/>
        <v>#N/A</v>
      </c>
      <c r="E151" s="111" t="e">
        <f t="shared" si="0"/>
        <v>#N/A</v>
      </c>
      <c r="F151" s="111" t="e">
        <f t="shared" si="0"/>
        <v>#N/A</v>
      </c>
      <c r="G151" s="111" t="e">
        <f t="shared" si="0"/>
        <v>#N/A</v>
      </c>
      <c r="H151" s="111" t="e">
        <f t="shared" si="0"/>
        <v>#N/A</v>
      </c>
      <c r="I151" s="111" t="e">
        <f t="shared" si="0"/>
        <v>#N/A</v>
      </c>
      <c r="J151" s="111" t="e">
        <f t="shared" si="0"/>
        <v>#N/A</v>
      </c>
      <c r="K151" s="17"/>
      <c r="L151" s="15"/>
    </row>
    <row r="152" spans="1:12" ht="18" x14ac:dyDescent="0.25">
      <c r="A152" s="23" t="s">
        <v>72</v>
      </c>
      <c r="B152" s="119">
        <v>0.3</v>
      </c>
      <c r="C152" s="111" t="e">
        <f t="shared" si="0"/>
        <v>#N/A</v>
      </c>
      <c r="D152" s="111" t="e">
        <f t="shared" si="0"/>
        <v>#N/A</v>
      </c>
      <c r="E152" s="111" t="e">
        <f t="shared" si="0"/>
        <v>#N/A</v>
      </c>
      <c r="F152" s="111" t="e">
        <f t="shared" si="0"/>
        <v>#N/A</v>
      </c>
      <c r="G152" s="111" t="e">
        <f t="shared" si="0"/>
        <v>#N/A</v>
      </c>
      <c r="H152" s="111" t="e">
        <f t="shared" si="0"/>
        <v>#N/A</v>
      </c>
      <c r="I152" s="111" t="e">
        <f t="shared" si="0"/>
        <v>#N/A</v>
      </c>
      <c r="J152" s="111" t="e">
        <f t="shared" si="0"/>
        <v>#N/A</v>
      </c>
      <c r="K152" s="17"/>
      <c r="L152" s="15"/>
    </row>
    <row r="153" spans="1:12" ht="18" x14ac:dyDescent="0.25">
      <c r="A153" s="23"/>
      <c r="B153" s="119"/>
      <c r="C153" s="111"/>
      <c r="D153" s="111"/>
      <c r="E153" s="111"/>
      <c r="F153" s="111"/>
      <c r="G153" s="111"/>
      <c r="H153" s="111"/>
      <c r="I153" s="111"/>
      <c r="J153" s="111"/>
      <c r="K153" s="17"/>
      <c r="L153" s="15"/>
    </row>
    <row r="154" spans="1:12" ht="30.75" hidden="1" customHeight="1" x14ac:dyDescent="0.2">
      <c r="A154" s="136" t="s">
        <v>119</v>
      </c>
      <c r="B154" s="136"/>
      <c r="C154" s="136"/>
      <c r="D154" s="136"/>
      <c r="E154" s="136"/>
      <c r="F154" s="136"/>
      <c r="G154" s="136"/>
      <c r="H154" s="136"/>
      <c r="I154" s="136"/>
      <c r="J154" s="136"/>
      <c r="K154" s="17"/>
      <c r="L154" s="15"/>
    </row>
    <row r="155" spans="1:12" ht="18" hidden="1" x14ac:dyDescent="0.25">
      <c r="A155" s="120"/>
      <c r="B155" s="120"/>
      <c r="C155" s="120"/>
      <c r="D155" s="120"/>
      <c r="E155" s="120"/>
      <c r="F155" s="120"/>
      <c r="G155" s="120"/>
      <c r="H155" s="120"/>
      <c r="I155" s="111"/>
      <c r="J155" s="111"/>
      <c r="K155" s="17"/>
      <c r="L155" s="15"/>
    </row>
    <row r="156" spans="1:12" ht="18" hidden="1" x14ac:dyDescent="0.25">
      <c r="A156" s="121"/>
      <c r="B156" s="122"/>
      <c r="C156" s="120"/>
      <c r="D156" s="120"/>
      <c r="E156" s="120"/>
      <c r="F156" s="120"/>
      <c r="G156" s="120"/>
      <c r="H156" s="120"/>
      <c r="I156" s="120"/>
      <c r="J156" s="120"/>
      <c r="K156" s="14"/>
    </row>
    <row r="157" spans="1:12" ht="18" hidden="1" x14ac:dyDescent="0.25">
      <c r="A157" s="123"/>
      <c r="B157" s="124"/>
      <c r="C157" s="125"/>
      <c r="D157" s="125"/>
      <c r="E157" s="125"/>
      <c r="F157" s="125"/>
      <c r="G157" s="125"/>
      <c r="H157" s="125"/>
      <c r="I157" s="125"/>
      <c r="J157" s="125"/>
    </row>
    <row r="158" spans="1:12" ht="18" hidden="1" x14ac:dyDescent="0.25">
      <c r="A158" s="126"/>
      <c r="B158" s="124"/>
      <c r="C158" s="125"/>
      <c r="D158" s="125"/>
      <c r="E158" s="125"/>
      <c r="F158" s="125"/>
      <c r="G158" s="125"/>
      <c r="H158" s="125"/>
      <c r="I158" s="125"/>
      <c r="J158" s="125"/>
    </row>
    <row r="159" spans="1:12" ht="18" hidden="1" x14ac:dyDescent="0.25">
      <c r="A159" s="127" t="s">
        <v>25</v>
      </c>
      <c r="B159" s="124">
        <f>H37</f>
        <v>0</v>
      </c>
      <c r="C159" s="125" t="e">
        <f t="shared" ref="C159:J160" si="1">$B159*C$145</f>
        <v>#N/A</v>
      </c>
      <c r="D159" s="125" t="e">
        <f t="shared" si="1"/>
        <v>#N/A</v>
      </c>
      <c r="E159" s="125" t="e">
        <f t="shared" si="1"/>
        <v>#N/A</v>
      </c>
      <c r="F159" s="125" t="e">
        <f t="shared" si="1"/>
        <v>#N/A</v>
      </c>
      <c r="G159" s="125" t="e">
        <f t="shared" si="1"/>
        <v>#N/A</v>
      </c>
      <c r="H159" s="125" t="e">
        <f t="shared" si="1"/>
        <v>#N/A</v>
      </c>
      <c r="I159" s="125" t="e">
        <f t="shared" si="1"/>
        <v>#N/A</v>
      </c>
      <c r="J159" s="125" t="e">
        <f t="shared" si="1"/>
        <v>#N/A</v>
      </c>
    </row>
    <row r="160" spans="1:12" ht="18" hidden="1" x14ac:dyDescent="0.25">
      <c r="A160" s="127" t="s">
        <v>26</v>
      </c>
      <c r="B160" s="124">
        <f>H38</f>
        <v>0</v>
      </c>
      <c r="C160" s="125" t="e">
        <f t="shared" si="1"/>
        <v>#N/A</v>
      </c>
      <c r="D160" s="125" t="e">
        <f t="shared" si="1"/>
        <v>#N/A</v>
      </c>
      <c r="E160" s="125" t="e">
        <f t="shared" si="1"/>
        <v>#N/A</v>
      </c>
      <c r="F160" s="125" t="e">
        <f t="shared" si="1"/>
        <v>#N/A</v>
      </c>
      <c r="G160" s="125" t="e">
        <f t="shared" si="1"/>
        <v>#N/A</v>
      </c>
      <c r="H160" s="125" t="e">
        <f t="shared" si="1"/>
        <v>#N/A</v>
      </c>
      <c r="I160" s="125" t="e">
        <f t="shared" si="1"/>
        <v>#N/A</v>
      </c>
      <c r="J160" s="125" t="e">
        <f t="shared" si="1"/>
        <v>#N/A</v>
      </c>
    </row>
    <row r="161" spans="1:11" ht="18" hidden="1" x14ac:dyDescent="0.25">
      <c r="A161" s="126"/>
      <c r="B161" s="124"/>
      <c r="C161" s="125"/>
      <c r="D161" s="125"/>
      <c r="E161" s="125"/>
      <c r="F161" s="125"/>
      <c r="G161" s="125"/>
      <c r="H161" s="125"/>
      <c r="I161" s="125"/>
      <c r="J161" s="125"/>
    </row>
    <row r="162" spans="1:11" ht="18" hidden="1" x14ac:dyDescent="0.25">
      <c r="A162" s="127" t="s">
        <v>28</v>
      </c>
      <c r="B162" s="124">
        <f>H40</f>
        <v>0</v>
      </c>
      <c r="C162" s="125" t="e">
        <f t="shared" ref="C162:J165" si="2">$B162*C$145</f>
        <v>#N/A</v>
      </c>
      <c r="D162" s="125" t="e">
        <f t="shared" si="2"/>
        <v>#N/A</v>
      </c>
      <c r="E162" s="125" t="e">
        <f t="shared" si="2"/>
        <v>#N/A</v>
      </c>
      <c r="F162" s="125" t="e">
        <f t="shared" si="2"/>
        <v>#N/A</v>
      </c>
      <c r="G162" s="125" t="e">
        <f t="shared" si="2"/>
        <v>#N/A</v>
      </c>
      <c r="H162" s="125" t="e">
        <f t="shared" si="2"/>
        <v>#N/A</v>
      </c>
      <c r="I162" s="125" t="e">
        <f t="shared" si="2"/>
        <v>#N/A</v>
      </c>
      <c r="J162" s="125" t="e">
        <f t="shared" si="2"/>
        <v>#N/A</v>
      </c>
    </row>
    <row r="163" spans="1:11" ht="18" hidden="1" x14ac:dyDescent="0.25">
      <c r="A163" s="127" t="s">
        <v>32</v>
      </c>
      <c r="B163" s="124">
        <f>H41</f>
        <v>0</v>
      </c>
      <c r="C163" s="125" t="e">
        <f t="shared" si="2"/>
        <v>#N/A</v>
      </c>
      <c r="D163" s="125" t="e">
        <f t="shared" si="2"/>
        <v>#N/A</v>
      </c>
      <c r="E163" s="125" t="e">
        <f t="shared" si="2"/>
        <v>#N/A</v>
      </c>
      <c r="F163" s="125" t="e">
        <f t="shared" si="2"/>
        <v>#N/A</v>
      </c>
      <c r="G163" s="125" t="e">
        <f t="shared" si="2"/>
        <v>#N/A</v>
      </c>
      <c r="H163" s="125" t="e">
        <f t="shared" si="2"/>
        <v>#N/A</v>
      </c>
      <c r="I163" s="125" t="e">
        <f t="shared" si="2"/>
        <v>#N/A</v>
      </c>
      <c r="J163" s="125" t="e">
        <f t="shared" si="2"/>
        <v>#N/A</v>
      </c>
    </row>
    <row r="164" spans="1:11" ht="18" hidden="1" x14ac:dyDescent="0.25">
      <c r="A164" s="127" t="s">
        <v>58</v>
      </c>
      <c r="B164" s="124">
        <f>H42</f>
        <v>0</v>
      </c>
      <c r="C164" s="125" t="e">
        <f t="shared" si="2"/>
        <v>#N/A</v>
      </c>
      <c r="D164" s="125" t="e">
        <f t="shared" si="2"/>
        <v>#N/A</v>
      </c>
      <c r="E164" s="125" t="e">
        <f t="shared" si="2"/>
        <v>#N/A</v>
      </c>
      <c r="F164" s="125" t="e">
        <f t="shared" si="2"/>
        <v>#N/A</v>
      </c>
      <c r="G164" s="125" t="e">
        <f t="shared" si="2"/>
        <v>#N/A</v>
      </c>
      <c r="H164" s="125" t="e">
        <f t="shared" si="2"/>
        <v>#N/A</v>
      </c>
      <c r="I164" s="125" t="e">
        <f t="shared" si="2"/>
        <v>#N/A</v>
      </c>
      <c r="J164" s="125" t="e">
        <f t="shared" si="2"/>
        <v>#N/A</v>
      </c>
    </row>
    <row r="165" spans="1:11" ht="18" hidden="1" x14ac:dyDescent="0.25">
      <c r="A165" s="127" t="s">
        <v>102</v>
      </c>
      <c r="B165" s="124">
        <f>B149</f>
        <v>1.2</v>
      </c>
      <c r="C165" s="125" t="e">
        <f t="shared" si="2"/>
        <v>#N/A</v>
      </c>
      <c r="D165" s="125" t="e">
        <f t="shared" si="2"/>
        <v>#N/A</v>
      </c>
      <c r="E165" s="125" t="e">
        <f t="shared" si="2"/>
        <v>#N/A</v>
      </c>
      <c r="F165" s="125" t="e">
        <f t="shared" si="2"/>
        <v>#N/A</v>
      </c>
      <c r="G165" s="125" t="e">
        <f t="shared" si="2"/>
        <v>#N/A</v>
      </c>
      <c r="H165" s="125" t="e">
        <f t="shared" si="2"/>
        <v>#N/A</v>
      </c>
      <c r="I165" s="125" t="e">
        <f t="shared" si="2"/>
        <v>#N/A</v>
      </c>
      <c r="J165" s="125" t="e">
        <f t="shared" si="2"/>
        <v>#N/A</v>
      </c>
      <c r="K165" s="73"/>
    </row>
    <row r="166" spans="1:11" ht="18" hidden="1" x14ac:dyDescent="0.25">
      <c r="A166" s="126"/>
      <c r="B166" s="128"/>
      <c r="C166" s="128"/>
      <c r="D166" s="128"/>
      <c r="E166" s="128"/>
      <c r="F166" s="128"/>
      <c r="G166" s="128"/>
      <c r="H166" s="128"/>
      <c r="I166" s="128"/>
      <c r="J166" s="128"/>
    </row>
    <row r="167" spans="1:11" s="128" customFormat="1" ht="18" hidden="1" x14ac:dyDescent="0.25">
      <c r="A167" s="15"/>
      <c r="B167" s="16"/>
      <c r="C167" s="16"/>
      <c r="D167" s="16"/>
      <c r="E167" s="16"/>
      <c r="F167" s="16"/>
      <c r="G167" s="16"/>
      <c r="H167" s="16"/>
      <c r="I167" s="16"/>
      <c r="J167" s="16"/>
      <c r="K167" s="16"/>
    </row>
    <row r="168" spans="1:11" s="128" customFormat="1" ht="94.5" customHeight="1" x14ac:dyDescent="0.25">
      <c r="A168" s="188" t="s">
        <v>122</v>
      </c>
      <c r="B168" s="189"/>
      <c r="C168" s="189"/>
      <c r="D168" s="189"/>
      <c r="E168" s="189"/>
      <c r="F168" s="189"/>
      <c r="G168" s="189"/>
      <c r="H168" s="189"/>
      <c r="I168" s="189"/>
      <c r="J168" s="190"/>
      <c r="K168" s="16"/>
    </row>
    <row r="169" spans="1:11" s="128" customFormat="1" ht="18" x14ac:dyDescent="0.25">
      <c r="A169" s="15"/>
      <c r="B169" s="16"/>
      <c r="C169" s="16"/>
      <c r="D169" s="16"/>
      <c r="E169" s="16"/>
      <c r="F169" s="16"/>
      <c r="G169" s="16"/>
      <c r="H169" s="16"/>
      <c r="I169" s="16"/>
      <c r="J169" s="16"/>
      <c r="K169" s="16"/>
    </row>
    <row r="170" spans="1:11" s="128" customFormat="1" ht="18" x14ac:dyDescent="0.25">
      <c r="A170" s="15"/>
      <c r="B170" s="16"/>
      <c r="C170" s="16"/>
      <c r="D170" s="16"/>
      <c r="E170" s="16"/>
      <c r="F170" s="16"/>
      <c r="G170" s="16"/>
      <c r="H170" s="16"/>
      <c r="I170" s="16"/>
      <c r="J170" s="16"/>
      <c r="K170" s="16"/>
    </row>
    <row r="171" spans="1:11" s="128" customFormat="1" ht="18" x14ac:dyDescent="0.25">
      <c r="A171" s="15"/>
      <c r="B171" s="16"/>
      <c r="C171" s="16"/>
      <c r="D171" s="16"/>
      <c r="E171" s="16"/>
      <c r="F171" s="16"/>
      <c r="G171" s="16"/>
      <c r="H171" s="16"/>
      <c r="I171" s="16"/>
      <c r="J171" s="16"/>
      <c r="K171" s="16"/>
    </row>
    <row r="172" spans="1:11" s="128" customFormat="1" ht="18" x14ac:dyDescent="0.25">
      <c r="A172" s="15"/>
      <c r="B172" s="16"/>
      <c r="C172" s="16"/>
      <c r="D172" s="16"/>
      <c r="E172" s="16"/>
      <c r="F172" s="16"/>
      <c r="G172" s="16"/>
      <c r="H172" s="16"/>
      <c r="I172" s="16"/>
      <c r="J172" s="16"/>
      <c r="K172" s="16"/>
    </row>
    <row r="173" spans="1:11" s="128" customFormat="1" ht="18" x14ac:dyDescent="0.25">
      <c r="A173" s="15"/>
      <c r="B173" s="16"/>
      <c r="C173" s="16"/>
      <c r="D173" s="16"/>
      <c r="E173" s="16"/>
      <c r="F173" s="16"/>
      <c r="G173" s="16"/>
      <c r="H173" s="16"/>
      <c r="I173" s="16"/>
      <c r="J173" s="16"/>
      <c r="K173" s="16"/>
    </row>
    <row r="174" spans="1:11" s="128" customFormat="1" ht="18" x14ac:dyDescent="0.25">
      <c r="A174" s="15"/>
      <c r="B174" s="16"/>
      <c r="C174" s="16"/>
      <c r="D174" s="16"/>
      <c r="E174" s="16"/>
      <c r="F174" s="16"/>
      <c r="G174" s="16"/>
      <c r="H174" s="16"/>
      <c r="I174" s="16"/>
      <c r="J174" s="16"/>
      <c r="K174" s="16"/>
    </row>
    <row r="175" spans="1:11" s="128" customFormat="1" ht="18" x14ac:dyDescent="0.25">
      <c r="A175" s="15"/>
      <c r="B175" s="16"/>
      <c r="C175" s="16"/>
      <c r="D175" s="16"/>
      <c r="E175" s="16"/>
      <c r="F175" s="16"/>
      <c r="G175" s="16"/>
      <c r="H175" s="16"/>
      <c r="I175" s="16"/>
      <c r="J175" s="16"/>
      <c r="K175" s="16"/>
    </row>
    <row r="176" spans="1:11" s="128" customFormat="1" ht="18" x14ac:dyDescent="0.25">
      <c r="A176" s="15"/>
      <c r="B176" s="16"/>
      <c r="C176" s="16"/>
      <c r="D176" s="16"/>
      <c r="E176" s="16"/>
      <c r="F176" s="16"/>
      <c r="G176" s="16"/>
      <c r="H176" s="16"/>
      <c r="I176" s="16"/>
      <c r="J176" s="16"/>
      <c r="K176" s="16"/>
    </row>
    <row r="177" spans="1:19" s="128" customFormat="1" ht="18" x14ac:dyDescent="0.25">
      <c r="A177" s="15"/>
      <c r="B177" s="16"/>
      <c r="C177" s="16"/>
      <c r="D177" s="16"/>
      <c r="E177" s="16"/>
      <c r="F177" s="16"/>
      <c r="G177" s="16"/>
      <c r="H177" s="16"/>
      <c r="I177" s="16"/>
      <c r="J177" s="16"/>
      <c r="K177" s="16"/>
    </row>
    <row r="178" spans="1:19" s="128" customFormat="1" ht="18" x14ac:dyDescent="0.25">
      <c r="A178" s="15"/>
      <c r="B178" s="16"/>
      <c r="C178" s="16"/>
      <c r="D178" s="16"/>
      <c r="E178" s="16"/>
      <c r="F178" s="16"/>
      <c r="G178" s="16"/>
      <c r="H178" s="16"/>
      <c r="I178" s="16"/>
      <c r="J178" s="16"/>
      <c r="K178" s="16"/>
    </row>
    <row r="179" spans="1:19" s="128" customFormat="1" ht="18" x14ac:dyDescent="0.25">
      <c r="A179" s="15"/>
      <c r="B179" s="16"/>
      <c r="C179" s="16"/>
      <c r="D179" s="16"/>
      <c r="E179" s="16"/>
      <c r="F179" s="16"/>
      <c r="G179" s="16"/>
      <c r="H179" s="16"/>
      <c r="I179" s="16"/>
      <c r="J179" s="16"/>
      <c r="K179" s="16"/>
    </row>
    <row r="180" spans="1:19" s="128" customFormat="1" ht="18" x14ac:dyDescent="0.25">
      <c r="A180" s="15"/>
      <c r="B180" s="16"/>
      <c r="C180" s="16"/>
      <c r="D180" s="16"/>
      <c r="E180" s="16"/>
      <c r="F180" s="16"/>
      <c r="G180" s="16"/>
      <c r="H180" s="16"/>
      <c r="I180" s="16"/>
      <c r="J180" s="16"/>
      <c r="K180" s="16"/>
    </row>
    <row r="181" spans="1:19" s="128" customFormat="1" ht="18" x14ac:dyDescent="0.25">
      <c r="A181" s="15"/>
      <c r="B181" s="16"/>
      <c r="C181" s="16"/>
      <c r="D181" s="16"/>
      <c r="E181" s="16"/>
      <c r="F181" s="16"/>
      <c r="G181" s="16"/>
      <c r="H181" s="16"/>
      <c r="I181" s="16"/>
      <c r="J181" s="16"/>
      <c r="K181" s="16"/>
    </row>
    <row r="182" spans="1:19" s="128" customFormat="1" ht="18" x14ac:dyDescent="0.25">
      <c r="A182" s="15"/>
      <c r="B182" s="16"/>
      <c r="C182" s="16"/>
      <c r="D182" s="16"/>
      <c r="E182" s="16"/>
      <c r="F182" s="16"/>
      <c r="G182" s="16"/>
      <c r="H182" s="16"/>
      <c r="I182" s="16"/>
      <c r="J182" s="16"/>
      <c r="K182" s="16"/>
    </row>
    <row r="183" spans="1:19" s="128" customFormat="1" ht="18" x14ac:dyDescent="0.25">
      <c r="A183" s="15"/>
      <c r="B183" s="16"/>
      <c r="C183" s="16"/>
      <c r="D183" s="16"/>
      <c r="E183" s="16"/>
      <c r="F183" s="16"/>
      <c r="G183" s="16"/>
      <c r="H183" s="16"/>
      <c r="I183" s="16"/>
      <c r="J183" s="16"/>
      <c r="K183" s="16"/>
      <c r="R183" s="16"/>
      <c r="S183" s="16"/>
    </row>
  </sheetData>
  <sheetProtection algorithmName="SHA-512" hashValue="berp73+YfldQoP8eliwPxGyvSB4S0/ChDew3MqtopgkZNpc25Yp6C6LeOawGvEtJXOGYvuCG96SEDN4gBxmi7A==" saltValue="MQjVxPWlF+DM/Iblby6fHw==" spinCount="100000" sheet="1" selectLockedCells="1"/>
  <mergeCells count="80">
    <mergeCell ref="A168:J168"/>
    <mergeCell ref="A8:J8"/>
    <mergeCell ref="C15:E16"/>
    <mergeCell ref="A2:J2"/>
    <mergeCell ref="A1:J1"/>
    <mergeCell ref="A6:J6"/>
    <mergeCell ref="A7:J7"/>
    <mergeCell ref="A5:J5"/>
    <mergeCell ref="A13:B13"/>
    <mergeCell ref="C13:D13"/>
    <mergeCell ref="A15:B15"/>
    <mergeCell ref="G13:H13"/>
    <mergeCell ref="A3:J3"/>
    <mergeCell ref="C18:F18"/>
    <mergeCell ref="A32:C32"/>
    <mergeCell ref="D25:G25"/>
    <mergeCell ref="D28:E28"/>
    <mergeCell ref="D27:E27"/>
    <mergeCell ref="A27:B27"/>
    <mergeCell ref="A28:B28"/>
    <mergeCell ref="G17:H17"/>
    <mergeCell ref="D22:J22"/>
    <mergeCell ref="A22:B22"/>
    <mergeCell ref="A23:B23"/>
    <mergeCell ref="D24:F24"/>
    <mergeCell ref="A20:E20"/>
    <mergeCell ref="A17:B17"/>
    <mergeCell ref="A41:B41"/>
    <mergeCell ref="A42:B42"/>
    <mergeCell ref="A62:J62"/>
    <mergeCell ref="A64:J64"/>
    <mergeCell ref="B46:H46"/>
    <mergeCell ref="D42:D43"/>
    <mergeCell ref="A43:B43"/>
    <mergeCell ref="F43:H43"/>
    <mergeCell ref="D44:E44"/>
    <mergeCell ref="A40:B40"/>
    <mergeCell ref="A37:B37"/>
    <mergeCell ref="A38:B38"/>
    <mergeCell ref="E32:H32"/>
    <mergeCell ref="A24:B24"/>
    <mergeCell ref="A26:B26"/>
    <mergeCell ref="H34:H35"/>
    <mergeCell ref="G34:G35"/>
    <mergeCell ref="A36:B36"/>
    <mergeCell ref="A35:B35"/>
    <mergeCell ref="A34:B34"/>
    <mergeCell ref="D29:G29"/>
    <mergeCell ref="F39:H39"/>
    <mergeCell ref="A29:B29"/>
    <mergeCell ref="A25:B25"/>
    <mergeCell ref="F34:F35"/>
    <mergeCell ref="C11:D11"/>
    <mergeCell ref="C17:D17"/>
    <mergeCell ref="E13:F13"/>
    <mergeCell ref="E17:F17"/>
    <mergeCell ref="E11:F11"/>
    <mergeCell ref="A93:H93"/>
    <mergeCell ref="D79:H79"/>
    <mergeCell ref="B45:H45"/>
    <mergeCell ref="A47:H47"/>
    <mergeCell ref="A90:H90"/>
    <mergeCell ref="B74:C74"/>
    <mergeCell ref="F74:G74"/>
    <mergeCell ref="A129:H129"/>
    <mergeCell ref="A117:H117"/>
    <mergeCell ref="A48:H48"/>
    <mergeCell ref="A75:J75"/>
    <mergeCell ref="A154:J154"/>
    <mergeCell ref="B77:H77"/>
    <mergeCell ref="B66:E66"/>
    <mergeCell ref="F66:J66"/>
    <mergeCell ref="F67:J67"/>
    <mergeCell ref="B67:E67"/>
    <mergeCell ref="A145:B145"/>
    <mergeCell ref="A144:B144"/>
    <mergeCell ref="A142:J142"/>
    <mergeCell ref="A141:J141"/>
    <mergeCell ref="A105:H105"/>
    <mergeCell ref="A89:H89"/>
  </mergeCells>
  <phoneticPr fontId="0" type="noConversion"/>
  <dataValidations xWindow="510" yWindow="583" count="22">
    <dataValidation operator="greaterThanOrEqual" showInputMessage="1" showErrorMessage="1" errorTitle="Insufficeint Units at 35%" error="A minimum of 10% of the affordable units must be priced to be available to families earning 35% or less of median income." sqref="F37" xr:uid="{00000000-0002-0000-0000-000000000000}"/>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7" xr:uid="{00000000-0002-0000-0000-000001000000}">
      <formula1>C35*0.5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8" xr:uid="{00000000-0002-0000-0000-000002000000}">
      <formula1>C35-C37</formula1>
    </dataValidation>
    <dataValidation type="whole" allowBlank="1" showInputMessage="1" showErrorMessage="1" error="COAH uses six statewide regions.  Number entered must be between 1 and 6." prompt="Enter COAH Region 1 through 6." sqref="C17:D17" xr:uid="{00000000-0002-0000-0000-000003000000}">
      <formula1>1</formula1>
      <formula2>6</formula2>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40" xr:uid="{00000000-0002-0000-0000-000004000000}">
      <formula1>C35*0.2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1" xr:uid="{00000000-0002-0000-0000-000005000000}">
      <formula1>C35*0.3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2" xr:uid="{00000000-0002-0000-0000-000006000000}">
      <formula1>IF(C43="",C35*0.2,(C35*0.2)-C43)</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3" xr:uid="{00000000-0002-0000-0000-000007000000}">
      <formula1>IF(C42="",C35*0.2,(C35*0.2)-C42)</formula1>
    </dataValidation>
    <dataValidation type="decimal" operator="lessThanOrEqual" allowBlank="1" showInputMessage="1" showErrorMessage="1" errorTitle="Range of Affordability Error" error="Units may not be priced higher than 70% of median income." sqref="H42" xr:uid="{00000000-0002-0000-0000-000008000000}">
      <formula1>0.7</formula1>
    </dataValidation>
    <dataValidation errorStyle="warning" operator="lessThanOrEqual" allowBlank="1" showInputMessage="1" showErrorMessage="1" errorTitle="Range of Affordability Error" error="Average affordability of all units may not exceed 55% of Regional Median Income." sqref="H44" xr:uid="{00000000-0002-0000-0000-000009000000}"/>
    <dataValidation type="decimal" operator="lessThanOrEqual" allowBlank="1" showInputMessage="1" showErrorMessage="1" errorTitle="Pricing Error" error="Low-income units may not be priced to exceed 50% of the regional median income." sqref="H37" xr:uid="{00000000-0002-0000-0000-00000A000000}">
      <formula1>0.5</formula1>
    </dataValidation>
    <dataValidation type="decimal" operator="lessThanOrEqual" allowBlank="1" showInputMessage="1" showErrorMessage="1" errorTitle="Pricing Error" error="Low-income units may not be priced to exceed 50% of regional median income." sqref="H38" xr:uid="{00000000-0002-0000-0000-00000B000000}">
      <formula1>0.5</formula1>
    </dataValidation>
    <dataValidation type="decimal" operator="lessThanOrEqual" allowBlank="1" showInputMessage="1" showErrorMessage="1" errorTitle="Pricing Error" error="Moderate-income units may not be priced to exceed 70% of regional median income." sqref="H40:H41" xr:uid="{00000000-0002-0000-0000-00000C000000}">
      <formula1>0.7</formula1>
    </dataValidation>
    <dataValidation allowBlank="1" showInputMessage="1" showErrorMessage="1" prompt="Enter annual mortgage interest rate as a percentage.  For example, enter 7.25% as 7.25, NOT 0.0725." sqref="C22" xr:uid="{00000000-0002-0000-0000-00000D000000}"/>
    <dataValidation operator="lessThanOrEqual" allowBlank="1" errorTitle="Invalid Bedroom Distribution" error="You have entered an excessive number of one-bedroom units." sqref="B73 F73" xr:uid="{00000000-0002-0000-0000-00000E000000}"/>
    <dataValidation operator="equal" allowBlank="1" showInputMessage="1" showErrorMessage="1" error="." sqref="G69:G72" xr:uid="{00000000-0002-0000-0000-00000F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10000000}"/>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4" xr:uid="{00000000-0002-0000-0000-000011000000}"/>
    <dataValidation allowBlank="1" showInputMessage="1" showErrorMessage="1" promptTitle="&quot;Equalization Ratio&quot; Data Link" prompt="Enter the most recent equalization ratio for the municipality in which the development is located.  This figure is available from the NJ Department of Treasury, Division of Taxation through the link provided to the left.  Use the &quot;Avergage Ratio&quot; Column. " sqref="C25" xr:uid="{00000000-0002-0000-0000-000012000000}"/>
    <dataValidation allowBlank="1" showInputMessage="1" showErrorMessage="1" prompt="Enter the monthly cost of homeowner's insurance." sqref="C26" xr:uid="{00000000-0002-0000-0000-000013000000}"/>
    <dataValidation allowBlank="1" showInputMessage="1" showErrorMessage="1" prompt="Enter the total number of units in the development.  This includes both market-rate and affordable units." sqref="C34" xr:uid="{00000000-0002-0000-0000-000014000000}"/>
    <dataValidation allowBlank="1" showInputMessage="1" showErrorMessage="1" prompt="Enter the total number of affordable units in the development." sqref="C35" xr:uid="{00000000-0002-0000-0000-000015000000}"/>
  </dataValidations>
  <hyperlinks>
    <hyperlink ref="A25:B25" r:id="rId1" display="EQUALIZATION RATIO" xr:uid="{00000000-0004-0000-0000-000000000000}"/>
    <hyperlink ref="A24:B24" r:id="rId2" display="PROPERTY TAX RATE" xr:uid="{00000000-0004-0000-0000-000001000000}"/>
    <hyperlink ref="D22:J22" r:id="rId3" display="Click this link to navigate to the Federal Reserve H15 rate and use the last figure in the right column" xr:uid="{00000000-0004-0000-0000-000003000000}"/>
  </hyperlinks>
  <printOptions horizontalCentered="1"/>
  <pageMargins left="0.5" right="0.5" top="0.5" bottom="0.5" header="0.5" footer="0.5"/>
  <pageSetup scale="54" fitToHeight="0" orientation="portrait" horizontalDpi="300" verticalDpi="300" r:id="rId4"/>
  <headerFooter alignWithMargins="0">
    <oddFooter>&amp;CPage &amp;P&amp;RGeneral Sales Calculator</oddFooter>
  </headerFooter>
  <rowBreaks count="3" manualBreakCount="3">
    <brk id="47" max="9" man="1"/>
    <brk id="87" max="9" man="1"/>
    <brk id="12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showRowColHeaders="0" workbookViewId="0">
      <selection activeCell="C14" sqref="C14"/>
    </sheetView>
  </sheetViews>
  <sheetFormatPr defaultRowHeight="15" x14ac:dyDescent="0.2"/>
  <cols>
    <col min="1" max="1" width="2" bestFit="1" customWidth="1"/>
    <col min="2" max="2" width="29.5546875" bestFit="1" customWidth="1"/>
  </cols>
  <sheetData>
    <row r="1" spans="1:10" x14ac:dyDescent="0.2">
      <c r="A1" s="1"/>
      <c r="B1" s="1"/>
      <c r="C1" s="215" t="s">
        <v>45</v>
      </c>
      <c r="D1" s="215"/>
      <c r="E1" s="215"/>
      <c r="F1" s="215"/>
      <c r="G1" s="215"/>
      <c r="H1" s="215"/>
      <c r="I1" s="2"/>
      <c r="J1" s="2"/>
    </row>
    <row r="2" spans="1:10" x14ac:dyDescent="0.2">
      <c r="A2" s="1"/>
      <c r="B2" s="1"/>
      <c r="C2" s="3"/>
      <c r="D2" s="215" t="s">
        <v>46</v>
      </c>
      <c r="E2" s="215"/>
      <c r="F2" s="215"/>
      <c r="G2" s="215"/>
      <c r="H2" s="3"/>
      <c r="I2" s="3"/>
      <c r="J2" s="3"/>
    </row>
    <row r="3" spans="1:10" x14ac:dyDescent="0.2">
      <c r="A3" s="1"/>
      <c r="B3" s="1"/>
      <c r="C3" s="3"/>
      <c r="D3" s="215" t="s">
        <v>126</v>
      </c>
      <c r="E3" s="215"/>
      <c r="F3" s="215"/>
      <c r="G3" s="215"/>
      <c r="H3" s="3"/>
      <c r="I3" s="3"/>
      <c r="J3" s="3"/>
    </row>
    <row r="4" spans="1:10" x14ac:dyDescent="0.2">
      <c r="A4" s="1"/>
      <c r="B4" s="1"/>
      <c r="C4" s="3"/>
      <c r="D4" s="3"/>
      <c r="E4" s="3"/>
      <c r="F4" s="3"/>
      <c r="G4" s="3"/>
      <c r="H4" s="3"/>
      <c r="I4" s="3"/>
      <c r="J4" s="3"/>
    </row>
    <row r="5" spans="1:10" x14ac:dyDescent="0.2">
      <c r="A5" s="4"/>
      <c r="B5" s="5" t="s">
        <v>47</v>
      </c>
      <c r="C5" s="6" t="s">
        <v>48</v>
      </c>
      <c r="D5" s="6" t="s">
        <v>49</v>
      </c>
      <c r="E5" s="6" t="s">
        <v>50</v>
      </c>
      <c r="F5" s="6" t="s">
        <v>51</v>
      </c>
      <c r="G5" s="6" t="s">
        <v>52</v>
      </c>
      <c r="H5" s="6" t="s">
        <v>53</v>
      </c>
      <c r="I5" s="6" t="s">
        <v>54</v>
      </c>
      <c r="J5" s="6" t="s">
        <v>55</v>
      </c>
    </row>
    <row r="6" spans="1:10" x14ac:dyDescent="0.2">
      <c r="A6" s="4"/>
      <c r="B6" s="7"/>
      <c r="C6" s="3"/>
      <c r="D6" s="3"/>
      <c r="E6" s="3"/>
      <c r="F6" s="3"/>
      <c r="G6" s="3"/>
      <c r="H6" s="3"/>
      <c r="I6" s="3"/>
      <c r="J6" s="3"/>
    </row>
    <row r="7" spans="1:10" x14ac:dyDescent="0.2">
      <c r="A7" s="4">
        <v>1</v>
      </c>
      <c r="B7" s="8" t="s">
        <v>60</v>
      </c>
      <c r="C7" s="9">
        <f t="shared" ref="C7:C12" si="0">F7*0.7</f>
        <v>63596.896444462138</v>
      </c>
      <c r="D7" s="9">
        <f t="shared" ref="D7:D12" si="1">F7*0.8</f>
        <v>72682.167365099594</v>
      </c>
      <c r="E7" s="9">
        <f t="shared" ref="E7:E12" si="2">F7*0.9</f>
        <v>81767.438285737051</v>
      </c>
      <c r="F7" s="216">
        <v>90852.709206374493</v>
      </c>
      <c r="G7" s="9">
        <f t="shared" ref="G7:G12" si="3">F7*1.08</f>
        <v>98120.925942884453</v>
      </c>
      <c r="H7" s="9">
        <f t="shared" ref="H7:H12" si="4">F7*1.16</f>
        <v>105389.14267939441</v>
      </c>
      <c r="I7" s="9">
        <f t="shared" ref="I7:I12" si="5">F7*1.24</f>
        <v>112657.35941590437</v>
      </c>
      <c r="J7" s="9">
        <f t="shared" ref="J7:J12" si="6">F7*1.32</f>
        <v>119925.57615241433</v>
      </c>
    </row>
    <row r="8" spans="1:10" x14ac:dyDescent="0.2">
      <c r="A8" s="4">
        <v>2</v>
      </c>
      <c r="B8" s="8" t="s">
        <v>64</v>
      </c>
      <c r="C8" s="9">
        <f t="shared" si="0"/>
        <v>66754.891185914981</v>
      </c>
      <c r="D8" s="9">
        <f t="shared" si="1"/>
        <v>76291.304212474279</v>
      </c>
      <c r="E8" s="9">
        <f t="shared" si="2"/>
        <v>85827.717239033562</v>
      </c>
      <c r="F8" s="216">
        <v>95364.130265592845</v>
      </c>
      <c r="G8" s="9">
        <f t="shared" si="3"/>
        <v>102993.26068684028</v>
      </c>
      <c r="H8" s="9">
        <f t="shared" si="4"/>
        <v>110622.39110808769</v>
      </c>
      <c r="I8" s="9">
        <f t="shared" si="5"/>
        <v>118251.52152933512</v>
      </c>
      <c r="J8" s="9">
        <f t="shared" si="6"/>
        <v>125880.65195058256</v>
      </c>
    </row>
    <row r="9" spans="1:10" x14ac:dyDescent="0.2">
      <c r="A9" s="4">
        <v>3</v>
      </c>
      <c r="B9" s="8" t="s">
        <v>61</v>
      </c>
      <c r="C9" s="9">
        <f t="shared" si="0"/>
        <v>75530</v>
      </c>
      <c r="D9" s="9">
        <f t="shared" si="1"/>
        <v>86320</v>
      </c>
      <c r="E9" s="9">
        <f t="shared" si="2"/>
        <v>97110</v>
      </c>
      <c r="F9" s="216">
        <v>107900</v>
      </c>
      <c r="G9" s="9">
        <f t="shared" si="3"/>
        <v>116532.00000000001</v>
      </c>
      <c r="H9" s="9">
        <f t="shared" si="4"/>
        <v>125163.99999999999</v>
      </c>
      <c r="I9" s="9">
        <f t="shared" si="5"/>
        <v>133796</v>
      </c>
      <c r="J9" s="9">
        <f t="shared" si="6"/>
        <v>142428</v>
      </c>
    </row>
    <row r="10" spans="1:10" x14ac:dyDescent="0.2">
      <c r="A10" s="4">
        <v>4</v>
      </c>
      <c r="B10" s="8" t="s">
        <v>62</v>
      </c>
      <c r="C10" s="9">
        <f t="shared" si="0"/>
        <v>69446.619696761059</v>
      </c>
      <c r="D10" s="9">
        <f t="shared" si="1"/>
        <v>79367.565367726929</v>
      </c>
      <c r="E10" s="9">
        <f t="shared" si="2"/>
        <v>89288.511038692784</v>
      </c>
      <c r="F10" s="216">
        <v>99209.456709658654</v>
      </c>
      <c r="G10" s="9">
        <f t="shared" si="3"/>
        <v>107146.21324643135</v>
      </c>
      <c r="H10" s="9">
        <f t="shared" si="4"/>
        <v>115082.96978320403</v>
      </c>
      <c r="I10" s="9">
        <f t="shared" si="5"/>
        <v>123019.72631997673</v>
      </c>
      <c r="J10" s="9">
        <f t="shared" si="6"/>
        <v>130956.48285674943</v>
      </c>
    </row>
    <row r="11" spans="1:10" x14ac:dyDescent="0.2">
      <c r="A11" s="4">
        <v>5</v>
      </c>
      <c r="B11" s="8" t="s">
        <v>63</v>
      </c>
      <c r="C11" s="9">
        <f t="shared" si="0"/>
        <v>61179.999999999993</v>
      </c>
      <c r="D11" s="9">
        <f t="shared" si="1"/>
        <v>69920</v>
      </c>
      <c r="E11" s="9">
        <f t="shared" si="2"/>
        <v>78660</v>
      </c>
      <c r="F11" s="216">
        <v>87400</v>
      </c>
      <c r="G11" s="9">
        <f t="shared" si="3"/>
        <v>94392</v>
      </c>
      <c r="H11" s="9">
        <f t="shared" si="4"/>
        <v>101384</v>
      </c>
      <c r="I11" s="9">
        <f t="shared" si="5"/>
        <v>108376</v>
      </c>
      <c r="J11" s="9">
        <f t="shared" si="6"/>
        <v>115368</v>
      </c>
    </row>
    <row r="12" spans="1:10" x14ac:dyDescent="0.2">
      <c r="A12" s="4">
        <v>6</v>
      </c>
      <c r="B12" s="8" t="s">
        <v>69</v>
      </c>
      <c r="C12" s="9">
        <f t="shared" si="0"/>
        <v>51085.125</v>
      </c>
      <c r="D12" s="9">
        <f t="shared" si="1"/>
        <v>58383</v>
      </c>
      <c r="E12" s="9">
        <f t="shared" si="2"/>
        <v>65680.875</v>
      </c>
      <c r="F12" s="216">
        <v>72978.75</v>
      </c>
      <c r="G12" s="9">
        <f t="shared" si="3"/>
        <v>78817.05</v>
      </c>
      <c r="H12" s="9">
        <f t="shared" si="4"/>
        <v>84655.349999999991</v>
      </c>
      <c r="I12" s="9">
        <f t="shared" si="5"/>
        <v>90493.65</v>
      </c>
      <c r="J12" s="9">
        <f t="shared" si="6"/>
        <v>96331.950000000012</v>
      </c>
    </row>
    <row r="17" spans="5:8" x14ac:dyDescent="0.2">
      <c r="E17" s="11"/>
      <c r="G17" s="11"/>
      <c r="H17" s="10"/>
    </row>
    <row r="18" spans="5:8" x14ac:dyDescent="0.2">
      <c r="E18" s="11"/>
      <c r="G18" s="11"/>
      <c r="H18" s="10"/>
    </row>
    <row r="19" spans="5:8" x14ac:dyDescent="0.2">
      <c r="E19" s="11"/>
      <c r="G19" s="11"/>
      <c r="H19" s="10"/>
    </row>
    <row r="20" spans="5:8" x14ac:dyDescent="0.2">
      <c r="E20" s="11"/>
      <c r="G20" s="11"/>
      <c r="H20" s="10"/>
    </row>
    <row r="21" spans="5:8" x14ac:dyDescent="0.2">
      <c r="E21" s="11"/>
      <c r="G21" s="11"/>
      <c r="H21" s="10"/>
    </row>
    <row r="22" spans="5:8" x14ac:dyDescent="0.2">
      <c r="E22" s="11"/>
      <c r="G22" s="11"/>
      <c r="H22" s="10"/>
    </row>
  </sheetData>
  <sheetProtection algorithmName="SHA-512" hashValue="h3k6J1uPsCwAdzH09Yqw3A2FGGyhqnBozFmo+gR5Td8+iYsXOHxwK0o41ZutjHp4YrY6Q98/EVZZYUiebL2ZoA==" saltValue="eXB1pyk584AIK8sBN1jL+w==" spinCount="100000" sheet="1" objects="1" scenarios="1" selectLockedCells="1" selectUnlockedCells="1"/>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Calculator</vt:lpstr>
      <vt:lpstr>Income Limits</vt:lpstr>
      <vt:lpstr>FINANCIAL</vt:lpstr>
      <vt:lpstr>PAYDOWN</vt:lpstr>
      <vt:lpstr>Calculator!Print_Area</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2007-05-07T17:01:28Z</cp:lastPrinted>
  <dcterms:created xsi:type="dcterms:W3CDTF">2000-08-07T14:55:48Z</dcterms:created>
  <dcterms:modified xsi:type="dcterms:W3CDTF">2018-04-24T14:22:07Z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